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theme/themeOverride7.xml" ContentType="application/vnd.openxmlformats-officedocument.themeOverride+xml"/>
  <Override PartName="/xl/charts/chart11.xml" ContentType="application/vnd.openxmlformats-officedocument.drawingml.chart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theme/themeOverride9.xml" ContentType="application/vnd.openxmlformats-officedocument.themeOverride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nebox\GIV\"/>
    </mc:Choice>
  </mc:AlternateContent>
  <bookViews>
    <workbookView xWindow="0" yWindow="0" windowWidth="19440" windowHeight="10440" firstSheet="4" activeTab="8"/>
  </bookViews>
  <sheets>
    <sheet name="Traffic" sheetId="16" r:id="rId1"/>
    <sheet name="WAN FAN Wi-Fi" sheetId="14" r:id="rId2"/>
    <sheet name="DataCenters" sheetId="5" r:id="rId3"/>
    <sheet name="Cons Dev Best " sheetId="19" r:id="rId4"/>
    <sheet name="Cons Dev Expe" sheetId="12" r:id="rId5"/>
    <sheet name="Cons Dev Worst" sheetId="20" r:id="rId6"/>
    <sheet name="Production" sheetId="9" r:id="rId7"/>
    <sheet name="Future 2030" sheetId="18" r:id="rId8"/>
    <sheet name="Figure 5" sheetId="22" r:id="rId9"/>
    <sheet name="Traffic generated by devices" sheetId="21" r:id="rId10"/>
  </sheets>
  <calcPr calcId="152511"/>
</workbook>
</file>

<file path=xl/calcChain.xml><?xml version="1.0" encoding="utf-8"?>
<calcChain xmlns="http://schemas.openxmlformats.org/spreadsheetml/2006/main">
  <c r="V60" i="9" l="1"/>
  <c r="O190" i="14" l="1"/>
  <c r="AA190" i="14"/>
  <c r="AA193" i="14"/>
  <c r="X108" i="14" l="1"/>
  <c r="AA102" i="14"/>
  <c r="G137" i="14"/>
  <c r="F137" i="14"/>
  <c r="N18" i="12" l="1"/>
  <c r="W4" i="22" l="1"/>
  <c r="W2" i="22"/>
  <c r="X132" i="14" l="1"/>
  <c r="C178" i="18" l="1"/>
  <c r="C169" i="18" l="1"/>
  <c r="F217" i="14" l="1"/>
  <c r="F218" i="14"/>
  <c r="G218" i="14"/>
  <c r="H218" i="14"/>
  <c r="I218" i="14"/>
  <c r="J218" i="14"/>
  <c r="K218" i="14"/>
  <c r="L218" i="14"/>
  <c r="M218" i="14"/>
  <c r="N218" i="14"/>
  <c r="O218" i="14"/>
  <c r="E218" i="14"/>
  <c r="E217" i="14"/>
  <c r="C114" i="14" l="1"/>
  <c r="C112" i="14"/>
  <c r="C113" i="14" s="1"/>
  <c r="C111" i="14"/>
  <c r="AL4" i="12" l="1"/>
  <c r="AM4" i="12" s="1"/>
  <c r="AN4" i="12" s="1"/>
  <c r="AO4" i="12" s="1"/>
  <c r="AP4" i="12" s="1"/>
  <c r="AQ4" i="12" s="1"/>
  <c r="AR4" i="12" s="1"/>
  <c r="AS4" i="12" s="1"/>
  <c r="AT4" i="12" s="1"/>
  <c r="AU4" i="12" s="1"/>
  <c r="AK4" i="12"/>
  <c r="C24" i="18" l="1"/>
  <c r="E33" i="12" l="1"/>
  <c r="H42" i="19" s="1"/>
  <c r="F33" i="12"/>
  <c r="I42" i="19" s="1"/>
  <c r="D33" i="12"/>
  <c r="G42" i="19" s="1"/>
  <c r="E32" i="19"/>
  <c r="H41" i="19" s="1"/>
  <c r="D32" i="19"/>
  <c r="G41" i="19" s="1"/>
  <c r="I193" i="14"/>
  <c r="I190" i="14"/>
  <c r="F32" i="19" s="1"/>
  <c r="I41" i="19" s="1"/>
  <c r="H129" i="14"/>
  <c r="I129" i="14"/>
  <c r="G129" i="14"/>
  <c r="H105" i="14"/>
  <c r="I105" i="14"/>
  <c r="G105" i="14"/>
  <c r="G108" i="14"/>
  <c r="H108" i="14" s="1"/>
  <c r="I108" i="14" s="1"/>
  <c r="G132" i="14"/>
  <c r="H132" i="14" s="1"/>
  <c r="I132" i="14" s="1"/>
  <c r="J132" i="14" s="1"/>
  <c r="H137" i="14"/>
  <c r="I137" i="14" s="1"/>
  <c r="J137" i="14" s="1"/>
  <c r="K137" i="14" s="1"/>
  <c r="L137" i="14" s="1"/>
  <c r="M137" i="14" s="1"/>
  <c r="N137" i="14" s="1"/>
  <c r="K132" i="14" l="1"/>
  <c r="L132" i="14" s="1"/>
  <c r="M132" i="14" s="1"/>
  <c r="N132" i="14" s="1"/>
  <c r="O132" i="14" s="1"/>
  <c r="P132" i="14" s="1"/>
  <c r="Q132" i="14" s="1"/>
  <c r="J108" i="14"/>
  <c r="K108" i="14" s="1"/>
  <c r="L108" i="14" s="1"/>
  <c r="M108" i="14" s="1"/>
  <c r="N108" i="14" s="1"/>
  <c r="O108" i="14" s="1"/>
  <c r="P108" i="14" s="1"/>
  <c r="Q108" i="14" s="1"/>
  <c r="R108" i="14" s="1"/>
  <c r="S108" i="14" s="1"/>
  <c r="T108" i="14" s="1"/>
  <c r="U108" i="14" s="1"/>
  <c r="V108" i="14" s="1"/>
  <c r="W108" i="14" s="1"/>
  <c r="R132" i="14" l="1"/>
  <c r="S132" i="14" l="1"/>
  <c r="T132" i="14" l="1"/>
  <c r="U132" i="14" l="1"/>
  <c r="V132" i="14" l="1"/>
  <c r="W132" i="14" s="1"/>
  <c r="AC30" i="16" l="1"/>
  <c r="AD30" i="16" s="1"/>
  <c r="AE30" i="16" s="1"/>
  <c r="AF30" i="16" s="1"/>
  <c r="AG30" i="16" s="1"/>
  <c r="AH30" i="16" s="1"/>
  <c r="AI30" i="16" s="1"/>
  <c r="AJ30" i="16" s="1"/>
  <c r="AK30" i="16" s="1"/>
  <c r="AL30" i="16" s="1"/>
  <c r="AM30" i="16" s="1"/>
  <c r="AN30" i="16" s="1"/>
  <c r="AO30" i="16" s="1"/>
  <c r="AP30" i="16" s="1"/>
  <c r="AQ30" i="16" s="1"/>
  <c r="AR30" i="16" s="1"/>
  <c r="AS30" i="16" s="1"/>
  <c r="AE29" i="16"/>
  <c r="AF29" i="16" s="1"/>
  <c r="AG29" i="16" s="1"/>
  <c r="AH29" i="16" s="1"/>
  <c r="AI29" i="16" s="1"/>
  <c r="AJ29" i="16" s="1"/>
  <c r="AK29" i="16" s="1"/>
  <c r="AL29" i="16" s="1"/>
  <c r="AM29" i="16" s="1"/>
  <c r="AN29" i="16" s="1"/>
  <c r="AO29" i="16" s="1"/>
  <c r="AP29" i="16" s="1"/>
  <c r="AQ29" i="16" s="1"/>
  <c r="AR29" i="16" s="1"/>
  <c r="AS29" i="16" s="1"/>
  <c r="AD29" i="16"/>
  <c r="AC29" i="16"/>
  <c r="X6" i="20" l="1"/>
  <c r="S6" i="19"/>
  <c r="F3" i="12" l="1"/>
  <c r="F6" i="12"/>
  <c r="C36" i="21"/>
  <c r="C39" i="21" s="1"/>
  <c r="B6" i="21" l="1"/>
  <c r="B28" i="18" l="1"/>
  <c r="B25" i="18" l="1"/>
  <c r="B32" i="18" l="1"/>
  <c r="B31" i="18"/>
  <c r="B23" i="18"/>
  <c r="B30" i="18" l="1"/>
  <c r="B27" i="18"/>
  <c r="B38" i="18" s="1"/>
  <c r="B22" i="18"/>
  <c r="B26" i="18" s="1"/>
  <c r="B35" i="18" l="1"/>
  <c r="B34" i="18"/>
  <c r="B29" i="18"/>
  <c r="B71" i="9"/>
  <c r="C70" i="9"/>
  <c r="B70" i="9"/>
  <c r="C69" i="9"/>
  <c r="B69" i="9"/>
  <c r="C68" i="9"/>
  <c r="B68" i="9"/>
  <c r="C67" i="9"/>
  <c r="B67" i="9" l="1"/>
  <c r="C66" i="9"/>
  <c r="B66" i="9"/>
  <c r="C65" i="9"/>
  <c r="B65" i="9"/>
  <c r="C64" i="9"/>
  <c r="B64" i="9"/>
  <c r="B55" i="9" l="1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B33" i="9"/>
  <c r="B32" i="9"/>
  <c r="B31" i="9"/>
  <c r="C30" i="9"/>
  <c r="B30" i="9"/>
  <c r="C29" i="9"/>
  <c r="B29" i="9"/>
  <c r="C28" i="9"/>
  <c r="B28" i="9"/>
  <c r="C27" i="9"/>
  <c r="B27" i="9"/>
  <c r="L26" i="9"/>
  <c r="K26" i="9"/>
  <c r="J26" i="9"/>
  <c r="I26" i="9"/>
  <c r="H26" i="9"/>
  <c r="G26" i="9"/>
  <c r="F26" i="9"/>
  <c r="E26" i="9"/>
  <c r="C26" i="9"/>
  <c r="B26" i="9"/>
  <c r="C25" i="9"/>
  <c r="B25" i="9"/>
  <c r="C24" i="9"/>
  <c r="B24" i="9"/>
  <c r="B17" i="9"/>
  <c r="B75" i="9" s="1"/>
  <c r="B16" i="9"/>
  <c r="B74" i="9" s="1"/>
  <c r="B15" i="9"/>
  <c r="B73" i="9" s="1"/>
  <c r="B14" i="9"/>
  <c r="B72" i="9" s="1"/>
  <c r="B35" i="9" l="1"/>
  <c r="B57" i="9"/>
  <c r="B54" i="9"/>
  <c r="B34" i="9"/>
  <c r="B56" i="9"/>
  <c r="B36" i="9"/>
  <c r="D13" i="9" l="1"/>
  <c r="C13" i="9"/>
  <c r="C10" i="9"/>
  <c r="D10" i="9" s="1"/>
  <c r="E10" i="9" s="1"/>
  <c r="F10" i="9" s="1"/>
  <c r="G10" i="9" s="1"/>
  <c r="M9" i="9"/>
  <c r="H8" i="9"/>
  <c r="E8" i="9"/>
  <c r="H7" i="9"/>
  <c r="I7" i="9" s="1"/>
  <c r="H6" i="9"/>
  <c r="AE5" i="9"/>
  <c r="M5" i="9"/>
  <c r="AE4" i="9"/>
  <c r="AF4" i="9" s="1"/>
  <c r="E4" i="9"/>
  <c r="AE3" i="9"/>
  <c r="E3" i="9"/>
  <c r="J7" i="9" l="1"/>
  <c r="E49" i="9"/>
  <c r="E52" i="9"/>
  <c r="E50" i="9"/>
  <c r="AG4" i="9"/>
  <c r="D28" i="9"/>
  <c r="D26" i="9"/>
  <c r="D24" i="9"/>
  <c r="D29" i="9"/>
  <c r="D27" i="9"/>
  <c r="D25" i="9"/>
  <c r="D30" i="9"/>
  <c r="M26" i="9"/>
  <c r="D51" i="9"/>
  <c r="D46" i="9"/>
  <c r="D49" i="9"/>
  <c r="D52" i="9"/>
  <c r="D47" i="9"/>
  <c r="D50" i="9"/>
  <c r="D48" i="9"/>
  <c r="E46" i="9"/>
  <c r="F3" i="9"/>
  <c r="AF3" i="9"/>
  <c r="N5" i="9"/>
  <c r="D68" i="9"/>
  <c r="D69" i="9"/>
  <c r="D67" i="9"/>
  <c r="D70" i="9"/>
  <c r="D65" i="9"/>
  <c r="D66" i="9"/>
  <c r="D64" i="9"/>
  <c r="E51" i="9"/>
  <c r="E29" i="9"/>
  <c r="C71" i="9"/>
  <c r="C53" i="9"/>
  <c r="C17" i="9"/>
  <c r="C15" i="9"/>
  <c r="C32" i="9"/>
  <c r="C16" i="9"/>
  <c r="C14" i="9"/>
  <c r="F12" i="12" s="1"/>
  <c r="F12" i="20" s="1"/>
  <c r="E47" i="9"/>
  <c r="E25" i="9"/>
  <c r="AF5" i="9"/>
  <c r="E64" i="9" s="1"/>
  <c r="D71" i="9"/>
  <c r="D14" i="9"/>
  <c r="D15" i="9"/>
  <c r="D32" i="9"/>
  <c r="D16" i="9"/>
  <c r="D17" i="9"/>
  <c r="D53" i="9"/>
  <c r="F4" i="9"/>
  <c r="I8" i="9"/>
  <c r="O9" i="20"/>
  <c r="N9" i="20"/>
  <c r="M9" i="20"/>
  <c r="L9" i="20"/>
  <c r="K9" i="20"/>
  <c r="J9" i="20"/>
  <c r="I9" i="20"/>
  <c r="H9" i="20"/>
  <c r="G9" i="20"/>
  <c r="F9" i="20"/>
  <c r="E9" i="20"/>
  <c r="D9" i="20"/>
  <c r="D24" i="20" s="1"/>
  <c r="K8" i="20"/>
  <c r="J8" i="20"/>
  <c r="I8" i="20"/>
  <c r="H8" i="20"/>
  <c r="G8" i="20"/>
  <c r="F8" i="20"/>
  <c r="E8" i="20"/>
  <c r="D8" i="20"/>
  <c r="D23" i="20" s="1"/>
  <c r="X7" i="20"/>
  <c r="W7" i="20"/>
  <c r="V7" i="20"/>
  <c r="U7" i="20"/>
  <c r="T7" i="20"/>
  <c r="S7" i="20"/>
  <c r="R7" i="20"/>
  <c r="Q7" i="20"/>
  <c r="P7" i="20"/>
  <c r="L7" i="20"/>
  <c r="K7" i="20"/>
  <c r="J7" i="20"/>
  <c r="I7" i="20"/>
  <c r="H7" i="20"/>
  <c r="G7" i="20"/>
  <c r="F7" i="20"/>
  <c r="E7" i="20"/>
  <c r="D7" i="20"/>
  <c r="D22" i="20" s="1"/>
  <c r="W6" i="20"/>
  <c r="V6" i="20"/>
  <c r="U6" i="20"/>
  <c r="T6" i="20"/>
  <c r="S6" i="20"/>
  <c r="R6" i="20"/>
  <c r="Q6" i="20"/>
  <c r="J6" i="20"/>
  <c r="I6" i="20"/>
  <c r="H6" i="20"/>
  <c r="G6" i="20"/>
  <c r="F6" i="20"/>
  <c r="E6" i="20"/>
  <c r="D6" i="20"/>
  <c r="AC5" i="20"/>
  <c r="AD5" i="20" s="1"/>
  <c r="P5" i="20"/>
  <c r="O5" i="20"/>
  <c r="N5" i="20"/>
  <c r="M5" i="20"/>
  <c r="L5" i="20"/>
  <c r="K5" i="20"/>
  <c r="J5" i="20"/>
  <c r="I5" i="20"/>
  <c r="H5" i="20"/>
  <c r="G5" i="20"/>
  <c r="F5" i="20"/>
  <c r="F20" i="20" s="1"/>
  <c r="E20" i="20" s="1"/>
  <c r="E5" i="20"/>
  <c r="D5" i="20"/>
  <c r="AD4" i="20"/>
  <c r="AC4" i="20"/>
  <c r="H4" i="20"/>
  <c r="G4" i="20"/>
  <c r="F4" i="20"/>
  <c r="F19" i="20" s="1"/>
  <c r="E19" i="20" s="1"/>
  <c r="E4" i="20"/>
  <c r="D4" i="20"/>
  <c r="AC3" i="20"/>
  <c r="AD3" i="20" s="1"/>
  <c r="H3" i="20"/>
  <c r="G3" i="20"/>
  <c r="F3" i="20"/>
  <c r="F18" i="20" s="1"/>
  <c r="E3" i="20"/>
  <c r="D3" i="20"/>
  <c r="D18" i="20" s="1"/>
  <c r="F15" i="12"/>
  <c r="F15" i="20" s="1"/>
  <c r="E15" i="12"/>
  <c r="E15" i="20" s="1"/>
  <c r="D15" i="12"/>
  <c r="D30" i="12" s="1"/>
  <c r="E14" i="12"/>
  <c r="E14" i="20" s="1"/>
  <c r="D14" i="20" s="1"/>
  <c r="D14" i="12"/>
  <c r="D29" i="12" s="1"/>
  <c r="F13" i="12"/>
  <c r="E13" i="12"/>
  <c r="E13" i="20" s="1"/>
  <c r="D13" i="20" s="1"/>
  <c r="D13" i="12"/>
  <c r="D28" i="12" s="1"/>
  <c r="D12" i="12"/>
  <c r="D27" i="12" s="1"/>
  <c r="F11" i="12"/>
  <c r="F11" i="20" s="1"/>
  <c r="E11" i="12"/>
  <c r="E11" i="20" s="1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K8" i="12"/>
  <c r="J8" i="12"/>
  <c r="I8" i="12"/>
  <c r="H8" i="12"/>
  <c r="G8" i="12"/>
  <c r="F8" i="12"/>
  <c r="E8" i="12"/>
  <c r="D8" i="12"/>
  <c r="X7" i="12"/>
  <c r="W7" i="12"/>
  <c r="V7" i="12"/>
  <c r="U7" i="12"/>
  <c r="T7" i="12"/>
  <c r="S7" i="12"/>
  <c r="R7" i="12"/>
  <c r="Q7" i="12"/>
  <c r="P7" i="12"/>
  <c r="O7" i="12"/>
  <c r="L7" i="12"/>
  <c r="K7" i="12"/>
  <c r="J7" i="12"/>
  <c r="I7" i="12"/>
  <c r="H7" i="12"/>
  <c r="G7" i="12"/>
  <c r="F7" i="12"/>
  <c r="E7" i="12"/>
  <c r="D7" i="12"/>
  <c r="X6" i="12"/>
  <c r="W6" i="12"/>
  <c r="V6" i="12"/>
  <c r="U6" i="12"/>
  <c r="T6" i="12"/>
  <c r="S6" i="12"/>
  <c r="R6" i="12"/>
  <c r="Q6" i="12"/>
  <c r="P6" i="12"/>
  <c r="J6" i="12"/>
  <c r="I6" i="12"/>
  <c r="H6" i="12"/>
  <c r="G6" i="12"/>
  <c r="E6" i="12"/>
  <c r="E21" i="12" s="1"/>
  <c r="D6" i="12"/>
  <c r="AC5" i="12"/>
  <c r="AD5" i="12" s="1"/>
  <c r="P5" i="12"/>
  <c r="O5" i="12"/>
  <c r="N5" i="12"/>
  <c r="M5" i="12"/>
  <c r="L5" i="12"/>
  <c r="K5" i="12"/>
  <c r="J5" i="12"/>
  <c r="I5" i="12"/>
  <c r="H5" i="12"/>
  <c r="G5" i="12"/>
  <c r="F5" i="12"/>
  <c r="F20" i="12" s="1"/>
  <c r="E20" i="12" s="1"/>
  <c r="D20" i="12" s="1"/>
  <c r="E5" i="12"/>
  <c r="D5" i="12"/>
  <c r="AC4" i="12"/>
  <c r="H4" i="12"/>
  <c r="G4" i="12"/>
  <c r="F4" i="12"/>
  <c r="E4" i="12"/>
  <c r="D4" i="12"/>
  <c r="AD3" i="12"/>
  <c r="AC3" i="12"/>
  <c r="H3" i="12"/>
  <c r="G3" i="12"/>
  <c r="E3" i="12"/>
  <c r="D3" i="12"/>
  <c r="D18" i="12" s="1"/>
  <c r="F21" i="12" l="1"/>
  <c r="F18" i="12"/>
  <c r="F28" i="12"/>
  <c r="E28" i="12" s="1"/>
  <c r="D15" i="20"/>
  <c r="J8" i="9"/>
  <c r="C74" i="9"/>
  <c r="C56" i="9"/>
  <c r="C35" i="9"/>
  <c r="E67" i="9"/>
  <c r="E70" i="9"/>
  <c r="E66" i="9"/>
  <c r="AG5" i="9"/>
  <c r="F65" i="9" s="1"/>
  <c r="AD4" i="12"/>
  <c r="F47" i="9"/>
  <c r="G4" i="9"/>
  <c r="D73" i="9"/>
  <c r="D34" i="9"/>
  <c r="D55" i="9"/>
  <c r="D74" i="9"/>
  <c r="D56" i="9"/>
  <c r="D35" i="9"/>
  <c r="F49" i="9"/>
  <c r="F52" i="9"/>
  <c r="F50" i="9"/>
  <c r="F48" i="9"/>
  <c r="E48" i="9" s="1"/>
  <c r="F51" i="9"/>
  <c r="AH4" i="9"/>
  <c r="D72" i="9"/>
  <c r="D54" i="9"/>
  <c r="D33" i="9"/>
  <c r="E65" i="9"/>
  <c r="C73" i="9"/>
  <c r="C34" i="9"/>
  <c r="C55" i="9"/>
  <c r="E12" i="12"/>
  <c r="E12" i="20" s="1"/>
  <c r="D12" i="20" s="1"/>
  <c r="G20" i="20"/>
  <c r="C75" i="9"/>
  <c r="C57" i="9"/>
  <c r="C36" i="9"/>
  <c r="E69" i="9"/>
  <c r="N26" i="9"/>
  <c r="O5" i="9"/>
  <c r="K7" i="9"/>
  <c r="G20" i="12"/>
  <c r="F14" i="12"/>
  <c r="F14" i="20" s="1"/>
  <c r="E28" i="9"/>
  <c r="E30" i="9"/>
  <c r="E27" i="9"/>
  <c r="AG3" i="9"/>
  <c r="C72" i="9"/>
  <c r="C54" i="9"/>
  <c r="C33" i="9"/>
  <c r="F19" i="12"/>
  <c r="E19" i="12" s="1"/>
  <c r="D19" i="12" s="1"/>
  <c r="F46" i="9"/>
  <c r="G3" i="9"/>
  <c r="D75" i="9"/>
  <c r="D57" i="9"/>
  <c r="D36" i="9"/>
  <c r="E24" i="9"/>
  <c r="E18" i="20"/>
  <c r="E18" i="12"/>
  <c r="D11" i="20"/>
  <c r="D19" i="20"/>
  <c r="D20" i="20"/>
  <c r="F30" i="12"/>
  <c r="E30" i="12" s="1"/>
  <c r="D21" i="20"/>
  <c r="F26" i="12"/>
  <c r="F27" i="12"/>
  <c r="F13" i="20"/>
  <c r="D21" i="12"/>
  <c r="F15" i="19"/>
  <c r="E15" i="19"/>
  <c r="D15" i="19"/>
  <c r="F14" i="19"/>
  <c r="E14" i="19"/>
  <c r="D14" i="19"/>
  <c r="F13" i="19"/>
  <c r="E13" i="19"/>
  <c r="D13" i="19"/>
  <c r="F12" i="19"/>
  <c r="E12" i="19"/>
  <c r="D12" i="19"/>
  <c r="F11" i="19"/>
  <c r="E11" i="19"/>
  <c r="D11" i="19"/>
  <c r="O9" i="19"/>
  <c r="N9" i="19"/>
  <c r="M9" i="19"/>
  <c r="L9" i="19"/>
  <c r="K9" i="19"/>
  <c r="J9" i="19"/>
  <c r="I9" i="19"/>
  <c r="H9" i="19"/>
  <c r="G9" i="19"/>
  <c r="F9" i="19"/>
  <c r="E9" i="19"/>
  <c r="D9" i="19"/>
  <c r="L8" i="19"/>
  <c r="K8" i="19"/>
  <c r="J8" i="19"/>
  <c r="I8" i="19"/>
  <c r="H8" i="19"/>
  <c r="G8" i="19"/>
  <c r="F8" i="19"/>
  <c r="E8" i="19"/>
  <c r="D8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X6" i="19"/>
  <c r="W6" i="19"/>
  <c r="V6" i="19"/>
  <c r="U6" i="19"/>
  <c r="T6" i="19"/>
  <c r="R6" i="19"/>
  <c r="Q6" i="19"/>
  <c r="P6" i="19"/>
  <c r="O6" i="19"/>
  <c r="J6" i="19"/>
  <c r="I6" i="19"/>
  <c r="H6" i="19"/>
  <c r="G6" i="19"/>
  <c r="F6" i="19"/>
  <c r="E6" i="19"/>
  <c r="D6" i="19"/>
  <c r="AC5" i="19"/>
  <c r="O7" i="20" l="1"/>
  <c r="N7" i="20"/>
  <c r="M7" i="20"/>
  <c r="N7" i="12"/>
  <c r="M7" i="12"/>
  <c r="F69" i="9"/>
  <c r="F67" i="9"/>
  <c r="F70" i="9"/>
  <c r="F68" i="9"/>
  <c r="E68" i="9" s="1"/>
  <c r="F66" i="9"/>
  <c r="AH5" i="9"/>
  <c r="F29" i="12"/>
  <c r="E29" i="12" s="1"/>
  <c r="G64" i="9"/>
  <c r="G24" i="9"/>
  <c r="F24" i="9" s="1"/>
  <c r="G46" i="9"/>
  <c r="H3" i="9"/>
  <c r="J3" i="12"/>
  <c r="I3" i="20"/>
  <c r="I3" i="12"/>
  <c r="J3" i="20"/>
  <c r="F29" i="9"/>
  <c r="F27" i="9"/>
  <c r="F30" i="9"/>
  <c r="F28" i="9"/>
  <c r="AH3" i="9"/>
  <c r="G49" i="9"/>
  <c r="G52" i="9"/>
  <c r="G50" i="9"/>
  <c r="G48" i="9"/>
  <c r="G51" i="9"/>
  <c r="AI4" i="9"/>
  <c r="F25" i="9"/>
  <c r="G65" i="9"/>
  <c r="G47" i="9"/>
  <c r="H4" i="9"/>
  <c r="I4" i="20"/>
  <c r="J4" i="12"/>
  <c r="I4" i="12"/>
  <c r="O26" i="9"/>
  <c r="P5" i="9"/>
  <c r="R5" i="20"/>
  <c r="Q5" i="12"/>
  <c r="Q5" i="20"/>
  <c r="AD5" i="19"/>
  <c r="E27" i="12"/>
  <c r="F64" i="9"/>
  <c r="L8" i="20"/>
  <c r="L8" i="12"/>
  <c r="Q5" i="19"/>
  <c r="D21" i="19"/>
  <c r="E26" i="12"/>
  <c r="F31" i="12"/>
  <c r="E28" i="19"/>
  <c r="D28" i="19" s="1"/>
  <c r="E26" i="19"/>
  <c r="E29" i="19"/>
  <c r="D29" i="19" s="1"/>
  <c r="P5" i="19"/>
  <c r="O5" i="19"/>
  <c r="N5" i="19"/>
  <c r="M5" i="19"/>
  <c r="L5" i="19"/>
  <c r="K5" i="19"/>
  <c r="J5" i="19"/>
  <c r="I5" i="19"/>
  <c r="H5" i="19"/>
  <c r="H52" i="9" l="1"/>
  <c r="H48" i="9"/>
  <c r="AJ4" i="9"/>
  <c r="H50" i="9"/>
  <c r="H51" i="9"/>
  <c r="H49" i="9"/>
  <c r="G29" i="9"/>
  <c r="G27" i="9"/>
  <c r="G30" i="9"/>
  <c r="G28" i="9"/>
  <c r="AI3" i="9"/>
  <c r="G31" i="9"/>
  <c r="F31" i="9" s="1"/>
  <c r="E31" i="9" s="1"/>
  <c r="D31" i="9" s="1"/>
  <c r="C31" i="9" s="1"/>
  <c r="P26" i="9"/>
  <c r="Q5" i="9"/>
  <c r="R5" i="19"/>
  <c r="H47" i="9"/>
  <c r="H25" i="9"/>
  <c r="I4" i="9"/>
  <c r="G25" i="9"/>
  <c r="H46" i="9"/>
  <c r="H24" i="9"/>
  <c r="I3" i="9"/>
  <c r="G69" i="9"/>
  <c r="G67" i="9"/>
  <c r="G70" i="9"/>
  <c r="G68" i="9"/>
  <c r="G66" i="9"/>
  <c r="AI5" i="9"/>
  <c r="H65" i="9" s="1"/>
  <c r="J4" i="20"/>
  <c r="D26" i="19"/>
  <c r="D26" i="12"/>
  <c r="D31" i="12" s="1"/>
  <c r="E31" i="12"/>
  <c r="G5" i="19"/>
  <c r="F5" i="19"/>
  <c r="E5" i="19"/>
  <c r="D5" i="19"/>
  <c r="AC4" i="19"/>
  <c r="K4" i="19"/>
  <c r="J4" i="19"/>
  <c r="I4" i="19"/>
  <c r="H4" i="19"/>
  <c r="G4" i="19"/>
  <c r="F4" i="19"/>
  <c r="F19" i="19" s="1"/>
  <c r="E19" i="19" s="1"/>
  <c r="E4" i="19"/>
  <c r="D4" i="19"/>
  <c r="AC3" i="19"/>
  <c r="I3" i="19"/>
  <c r="H3" i="19"/>
  <c r="G3" i="19"/>
  <c r="F3" i="19"/>
  <c r="E3" i="19"/>
  <c r="D3" i="19"/>
  <c r="L3" i="20" l="1"/>
  <c r="Q26" i="9"/>
  <c r="R5" i="9"/>
  <c r="H70" i="9"/>
  <c r="H66" i="9"/>
  <c r="AJ5" i="9"/>
  <c r="H69" i="9"/>
  <c r="H68" i="9"/>
  <c r="H67" i="9"/>
  <c r="F20" i="19"/>
  <c r="E20" i="19" s="1"/>
  <c r="H64" i="9"/>
  <c r="T5" i="19"/>
  <c r="T5" i="12"/>
  <c r="F27" i="19"/>
  <c r="E27" i="19" s="1"/>
  <c r="F28" i="19"/>
  <c r="F26" i="19"/>
  <c r="F30" i="19"/>
  <c r="E30" i="19" s="1"/>
  <c r="D30" i="19" s="1"/>
  <c r="F29" i="19"/>
  <c r="I47" i="9"/>
  <c r="J4" i="9"/>
  <c r="K4" i="12"/>
  <c r="L4" i="20"/>
  <c r="L4" i="12"/>
  <c r="K4" i="20"/>
  <c r="I64" i="9"/>
  <c r="I24" i="9"/>
  <c r="I46" i="9"/>
  <c r="J3" i="9"/>
  <c r="K3" i="20"/>
  <c r="L3" i="12"/>
  <c r="K3" i="12"/>
  <c r="AD3" i="19"/>
  <c r="G21" i="19" s="1"/>
  <c r="F21" i="19" s="1"/>
  <c r="E21" i="19" s="1"/>
  <c r="K3" i="19"/>
  <c r="J3" i="19" s="1"/>
  <c r="AD4" i="19"/>
  <c r="AE4" i="19" s="1"/>
  <c r="S5" i="12"/>
  <c r="S5" i="19"/>
  <c r="H30" i="9"/>
  <c r="AJ3" i="9"/>
  <c r="H29" i="9"/>
  <c r="H28" i="9"/>
  <c r="H27" i="9"/>
  <c r="I48" i="9"/>
  <c r="I52" i="9"/>
  <c r="AK4" i="9"/>
  <c r="I50" i="9"/>
  <c r="I51" i="9"/>
  <c r="S5" i="20"/>
  <c r="D19" i="19"/>
  <c r="D20" i="19"/>
  <c r="R5" i="12" l="1"/>
  <c r="I70" i="9"/>
  <c r="I66" i="9"/>
  <c r="AK5" i="9"/>
  <c r="I68" i="9"/>
  <c r="I69" i="9"/>
  <c r="M4" i="12"/>
  <c r="G20" i="19"/>
  <c r="I30" i="9"/>
  <c r="AK3" i="9"/>
  <c r="I28" i="9"/>
  <c r="I29" i="9"/>
  <c r="J65" i="9"/>
  <c r="J25" i="9"/>
  <c r="J47" i="9"/>
  <c r="K4" i="9"/>
  <c r="L4" i="19"/>
  <c r="M4" i="19"/>
  <c r="F31" i="19"/>
  <c r="T5" i="20"/>
  <c r="D27" i="19"/>
  <c r="E31" i="19"/>
  <c r="R26" i="9"/>
  <c r="S5" i="9"/>
  <c r="U5" i="12" s="1"/>
  <c r="J48" i="9"/>
  <c r="J52" i="9"/>
  <c r="AL4" i="9"/>
  <c r="J50" i="9"/>
  <c r="J51" i="9"/>
  <c r="J64" i="9"/>
  <c r="J46" i="9"/>
  <c r="J24" i="9"/>
  <c r="K3" i="9"/>
  <c r="M3" i="19"/>
  <c r="L3" i="19"/>
  <c r="I25" i="9"/>
  <c r="M4" i="20"/>
  <c r="I65" i="9"/>
  <c r="G19" i="19"/>
  <c r="U5" i="19"/>
  <c r="D31" i="19" l="1"/>
  <c r="K48" i="9"/>
  <c r="K52" i="9"/>
  <c r="AM4" i="9"/>
  <c r="K50" i="9"/>
  <c r="K46" i="9"/>
  <c r="L3" i="9"/>
  <c r="M3" i="20"/>
  <c r="M3" i="12"/>
  <c r="S26" i="9"/>
  <c r="T5" i="9"/>
  <c r="K47" i="9"/>
  <c r="L4" i="9"/>
  <c r="J30" i="9"/>
  <c r="AL3" i="9"/>
  <c r="J28" i="9"/>
  <c r="J29" i="9"/>
  <c r="J70" i="9"/>
  <c r="J66" i="9"/>
  <c r="AL5" i="9"/>
  <c r="K65" i="9" s="1"/>
  <c r="J68" i="9"/>
  <c r="J69" i="9"/>
  <c r="U5" i="20"/>
  <c r="K30" i="9" l="1"/>
  <c r="AM3" i="9"/>
  <c r="K28" i="9"/>
  <c r="L64" i="9"/>
  <c r="L46" i="9"/>
  <c r="L24" i="9"/>
  <c r="M3" i="9"/>
  <c r="N3" i="19"/>
  <c r="O3" i="12"/>
  <c r="O3" i="20"/>
  <c r="N3" i="20"/>
  <c r="N3" i="12"/>
  <c r="K25" i="9"/>
  <c r="K24" i="9"/>
  <c r="K70" i="9"/>
  <c r="K66" i="9"/>
  <c r="AM5" i="9"/>
  <c r="K68" i="9"/>
  <c r="N4" i="19"/>
  <c r="W5" i="12"/>
  <c r="K64" i="9"/>
  <c r="T26" i="9"/>
  <c r="U5" i="9"/>
  <c r="V5" i="19"/>
  <c r="V5" i="20"/>
  <c r="O3" i="19"/>
  <c r="L48" i="9"/>
  <c r="L52" i="9"/>
  <c r="L50" i="9"/>
  <c r="AN4" i="9"/>
  <c r="L65" i="9"/>
  <c r="L47" i="9"/>
  <c r="L25" i="9"/>
  <c r="M4" i="9"/>
  <c r="N4" i="20"/>
  <c r="N4" i="12"/>
  <c r="O4" i="20"/>
  <c r="P4" i="12" l="1"/>
  <c r="V5" i="12"/>
  <c r="P4" i="19"/>
  <c r="M49" i="9"/>
  <c r="M50" i="9"/>
  <c r="AO4" i="9"/>
  <c r="M48" i="9"/>
  <c r="M52" i="9"/>
  <c r="O4" i="12"/>
  <c r="L28" i="9"/>
  <c r="L30" i="9"/>
  <c r="AN3" i="9"/>
  <c r="M25" i="9" s="1"/>
  <c r="P4" i="20"/>
  <c r="V5" i="9"/>
  <c r="W5" i="20"/>
  <c r="L68" i="9"/>
  <c r="L70" i="9"/>
  <c r="L66" i="9"/>
  <c r="AN5" i="9"/>
  <c r="W5" i="19"/>
  <c r="M65" i="9"/>
  <c r="M47" i="9"/>
  <c r="N4" i="9"/>
  <c r="M46" i="9"/>
  <c r="O4" i="19"/>
  <c r="N47" i="9" l="1"/>
  <c r="N25" i="9"/>
  <c r="O4" i="9"/>
  <c r="N49" i="9"/>
  <c r="N50" i="9"/>
  <c r="AP4" i="9"/>
  <c r="N48" i="9"/>
  <c r="M68" i="9"/>
  <c r="M67" i="9"/>
  <c r="AO5" i="9"/>
  <c r="N65" i="9" s="1"/>
  <c r="M66" i="9"/>
  <c r="M70" i="9"/>
  <c r="M24" i="9"/>
  <c r="M64" i="9"/>
  <c r="M28" i="9"/>
  <c r="M27" i="9"/>
  <c r="AO3" i="9"/>
  <c r="M30" i="9"/>
  <c r="V26" i="9"/>
  <c r="U26" i="9" s="1"/>
  <c r="X5" i="19"/>
  <c r="X5" i="20"/>
  <c r="X5" i="12"/>
  <c r="F307" i="14"/>
  <c r="E307" i="14"/>
  <c r="O49" i="9" l="1"/>
  <c r="O50" i="9"/>
  <c r="AQ4" i="9"/>
  <c r="O48" i="9"/>
  <c r="O47" i="9"/>
  <c r="O25" i="9"/>
  <c r="P4" i="9"/>
  <c r="Q4" i="20"/>
  <c r="Q4" i="19"/>
  <c r="Q4" i="12"/>
  <c r="N27" i="9"/>
  <c r="N28" i="9"/>
  <c r="AP3" i="9"/>
  <c r="N67" i="9"/>
  <c r="N68" i="9"/>
  <c r="AP5" i="9"/>
  <c r="O65" i="9" s="1"/>
  <c r="N66" i="9"/>
  <c r="R4" i="20"/>
  <c r="F306" i="14"/>
  <c r="E306" i="14"/>
  <c r="F305" i="14"/>
  <c r="E305" i="14"/>
  <c r="P50" i="9" l="1"/>
  <c r="P49" i="9"/>
  <c r="AR4" i="9"/>
  <c r="P48" i="9"/>
  <c r="O27" i="9"/>
  <c r="O28" i="9"/>
  <c r="AQ3" i="9"/>
  <c r="O67" i="9"/>
  <c r="O68" i="9"/>
  <c r="AQ5" i="9"/>
  <c r="P65" i="9" s="1"/>
  <c r="O66" i="9"/>
  <c r="P47" i="9"/>
  <c r="P25" i="9"/>
  <c r="Q4" i="9"/>
  <c r="R4" i="19"/>
  <c r="R4" i="12"/>
  <c r="G266" i="14"/>
  <c r="F266" i="14"/>
  <c r="E266" i="14"/>
  <c r="Q50" i="9" l="1"/>
  <c r="Q49" i="9"/>
  <c r="AS4" i="9"/>
  <c r="Q48" i="9"/>
  <c r="P67" i="9"/>
  <c r="P68" i="9"/>
  <c r="AR5" i="9"/>
  <c r="P66" i="9"/>
  <c r="Q65" i="9"/>
  <c r="Q47" i="9"/>
  <c r="R4" i="9"/>
  <c r="S4" i="12"/>
  <c r="S4" i="19"/>
  <c r="S4" i="20"/>
  <c r="P27" i="9"/>
  <c r="P28" i="9"/>
  <c r="AR3" i="9"/>
  <c r="Q27" i="9" l="1"/>
  <c r="Q28" i="9"/>
  <c r="AS3" i="9"/>
  <c r="R25" i="9"/>
  <c r="R47" i="9"/>
  <c r="S4" i="9"/>
  <c r="T4" i="12"/>
  <c r="T4" i="19"/>
  <c r="T4" i="20"/>
  <c r="R50" i="9"/>
  <c r="R49" i="9"/>
  <c r="AT4" i="9"/>
  <c r="R48" i="9"/>
  <c r="Q25" i="9"/>
  <c r="Q68" i="9"/>
  <c r="Q67" i="9"/>
  <c r="AS5" i="9"/>
  <c r="R65" i="9" s="1"/>
  <c r="Q66" i="9"/>
  <c r="S65" i="9" l="1"/>
  <c r="S47" i="9"/>
  <c r="T4" i="9"/>
  <c r="U4" i="19"/>
  <c r="V4" i="20"/>
  <c r="V4" i="12"/>
  <c r="U4" i="12"/>
  <c r="R27" i="9"/>
  <c r="R28" i="9"/>
  <c r="AT3" i="9"/>
  <c r="U4" i="20"/>
  <c r="R67" i="9"/>
  <c r="R68" i="9"/>
  <c r="AT5" i="9"/>
  <c r="R66" i="9"/>
  <c r="S49" i="9"/>
  <c r="S50" i="9"/>
  <c r="AU4" i="9"/>
  <c r="S48" i="9"/>
  <c r="V4" i="19"/>
  <c r="T49" i="9" l="1"/>
  <c r="T50" i="9"/>
  <c r="AV4" i="9"/>
  <c r="T48" i="9"/>
  <c r="S28" i="9"/>
  <c r="S27" i="9"/>
  <c r="AU3" i="9"/>
  <c r="T47" i="9"/>
  <c r="U4" i="9"/>
  <c r="S68" i="9"/>
  <c r="S67" i="9"/>
  <c r="AU5" i="9"/>
  <c r="S66" i="9"/>
  <c r="S25" i="9"/>
  <c r="X4" i="19" l="1"/>
  <c r="T27" i="9"/>
  <c r="T28" i="9"/>
  <c r="AV3" i="9"/>
  <c r="U65" i="9"/>
  <c r="U25" i="9"/>
  <c r="U47" i="9"/>
  <c r="V4" i="9"/>
  <c r="W4" i="20"/>
  <c r="W4" i="19"/>
  <c r="W4" i="12"/>
  <c r="T25" i="9"/>
  <c r="U49" i="9"/>
  <c r="U50" i="9"/>
  <c r="AW4" i="9"/>
  <c r="U48" i="9"/>
  <c r="T68" i="9"/>
  <c r="T67" i="9"/>
  <c r="AV5" i="9"/>
  <c r="T66" i="9"/>
  <c r="T65" i="9"/>
  <c r="F26" i="20"/>
  <c r="V65" i="9" l="1"/>
  <c r="V47" i="9"/>
  <c r="X4" i="20"/>
  <c r="X4" i="12"/>
  <c r="V49" i="9"/>
  <c r="V50" i="9"/>
  <c r="V48" i="9"/>
  <c r="U28" i="9"/>
  <c r="U27" i="9"/>
  <c r="AW3" i="9"/>
  <c r="U67" i="9"/>
  <c r="U68" i="9"/>
  <c r="AW5" i="9"/>
  <c r="U66" i="9"/>
  <c r="E26" i="20"/>
  <c r="G265" i="14"/>
  <c r="F265" i="14"/>
  <c r="E265" i="14"/>
  <c r="B153" i="18" s="1"/>
  <c r="V67" i="9" l="1"/>
  <c r="V68" i="9"/>
  <c r="V66" i="9"/>
  <c r="V27" i="9"/>
  <c r="V28" i="9"/>
  <c r="V25" i="9"/>
  <c r="D26" i="20"/>
  <c r="G264" i="14"/>
  <c r="F264" i="14"/>
  <c r="E264" i="14"/>
  <c r="B144" i="18" s="1"/>
  <c r="E250" i="14"/>
  <c r="E249" i="14"/>
  <c r="E243" i="14" l="1"/>
  <c r="E242" i="14"/>
  <c r="E245" i="14" l="1"/>
  <c r="E246" i="14" s="1"/>
  <c r="G18" i="19"/>
  <c r="F18" i="19" l="1"/>
  <c r="I208" i="14"/>
  <c r="J208" i="14" s="1"/>
  <c r="I207" i="14"/>
  <c r="J207" i="14" s="1"/>
  <c r="I206" i="14"/>
  <c r="J206" i="14" s="1"/>
  <c r="E18" i="19" l="1"/>
  <c r="D18" i="19" l="1"/>
  <c r="I198" i="14" l="1"/>
  <c r="G307" i="14" s="1"/>
  <c r="I197" i="14"/>
  <c r="I199" i="14" s="1"/>
  <c r="H197" i="14"/>
  <c r="H199" i="14" s="1"/>
  <c r="G197" i="14"/>
  <c r="G199" i="14" s="1"/>
  <c r="G306" i="14" l="1"/>
  <c r="M192" i="14"/>
  <c r="I192" i="14"/>
  <c r="I194" i="14" s="1"/>
  <c r="H192" i="14"/>
  <c r="H194" i="14" s="1"/>
  <c r="G192" i="14"/>
  <c r="G194" i="14" s="1"/>
  <c r="I189" i="14" l="1"/>
  <c r="H189" i="14"/>
  <c r="H191" i="14" s="1"/>
  <c r="G189" i="14"/>
  <c r="G191" i="14" s="1"/>
  <c r="G305" i="14" l="1"/>
  <c r="I191" i="14"/>
  <c r="G156" i="14" l="1"/>
  <c r="H156" i="14" s="1"/>
  <c r="I156" i="14" s="1"/>
  <c r="J156" i="14" s="1"/>
  <c r="K156" i="14" s="1"/>
  <c r="L156" i="14" s="1"/>
  <c r="M156" i="14" s="1"/>
  <c r="N156" i="14" s="1"/>
  <c r="O156" i="14" s="1"/>
  <c r="P156" i="14" s="1"/>
  <c r="I153" i="14"/>
  <c r="H153" i="14" l="1"/>
  <c r="G153" i="14"/>
  <c r="P39" i="14" l="1"/>
  <c r="O39" i="14"/>
  <c r="E39" i="14"/>
  <c r="M37" i="14"/>
  <c r="K37" i="14"/>
  <c r="F36" i="14" l="1"/>
  <c r="P32" i="14"/>
  <c r="Q32" i="14" s="1"/>
  <c r="R32" i="14" s="1"/>
  <c r="S32" i="14" s="1"/>
  <c r="T32" i="14" s="1"/>
  <c r="U32" i="14" s="1"/>
  <c r="V32" i="14" s="1"/>
  <c r="W32" i="14" s="1"/>
  <c r="X32" i="14" s="1"/>
  <c r="P31" i="14"/>
  <c r="Q31" i="14" s="1"/>
  <c r="R31" i="14" s="1"/>
  <c r="S31" i="14" s="1"/>
  <c r="T31" i="14" s="1"/>
  <c r="U31" i="14" s="1"/>
  <c r="V31" i="14" s="1"/>
  <c r="W31" i="14" s="1"/>
  <c r="X31" i="14" s="1"/>
  <c r="Y31" i="14" s="1"/>
  <c r="P30" i="14"/>
  <c r="Y32" i="14" l="1"/>
  <c r="F39" i="14"/>
  <c r="Q30" i="14"/>
  <c r="R30" i="14" s="1"/>
  <c r="S30" i="14" s="1"/>
  <c r="T30" i="14" s="1"/>
  <c r="U30" i="14" s="1"/>
  <c r="V30" i="14" s="1"/>
  <c r="W30" i="14" s="1"/>
  <c r="X30" i="14" s="1"/>
  <c r="M29" i="14"/>
  <c r="P26" i="14"/>
  <c r="P25" i="14"/>
  <c r="P24" i="14"/>
  <c r="Y30" i="14" l="1"/>
  <c r="F23" i="14"/>
  <c r="E23" i="14"/>
  <c r="T21" i="14"/>
  <c r="U70" i="14" s="1"/>
  <c r="S21" i="14"/>
  <c r="R21" i="14"/>
  <c r="Q21" i="14"/>
  <c r="P21" i="14"/>
  <c r="T20" i="14"/>
  <c r="U69" i="14" s="1"/>
  <c r="V122" i="14" s="1"/>
  <c r="S20" i="14"/>
  <c r="R20" i="14"/>
  <c r="Q20" i="14" s="1"/>
  <c r="P20" i="14" s="1"/>
  <c r="T19" i="14"/>
  <c r="U68" i="14" s="1"/>
  <c r="V100" i="14" s="1"/>
  <c r="S19" i="14"/>
  <c r="R19" i="14"/>
  <c r="Q19" i="14" s="1"/>
  <c r="R68" i="14" s="1"/>
  <c r="S100" i="14" s="1"/>
  <c r="P19" i="14"/>
  <c r="Q68" i="14" s="1"/>
  <c r="R100" i="14" s="1"/>
  <c r="M18" i="14"/>
  <c r="L18" i="14"/>
  <c r="K18" i="14"/>
  <c r="J18" i="14"/>
  <c r="I18" i="14"/>
  <c r="H18" i="14"/>
  <c r="G18" i="14"/>
  <c r="F18" i="14"/>
  <c r="E18" i="14"/>
  <c r="P16" i="14"/>
  <c r="Q65" i="14" s="1"/>
  <c r="R145" i="14" s="1"/>
  <c r="T16" i="14" l="1"/>
  <c r="U65" i="14" s="1"/>
  <c r="U16" i="14"/>
  <c r="V65" i="14" s="1"/>
  <c r="U20" i="14"/>
  <c r="V20" i="14"/>
  <c r="W69" i="14" s="1"/>
  <c r="X122" i="14" s="1"/>
  <c r="W19" i="14"/>
  <c r="X68" i="14" s="1"/>
  <c r="Y100" i="14" s="1"/>
  <c r="W20" i="14"/>
  <c r="X69" i="14" s="1"/>
  <c r="Y122" i="14" s="1"/>
  <c r="X20" i="14"/>
  <c r="Y69" i="14" s="1"/>
  <c r="Z122" i="14" s="1"/>
  <c r="S16" i="14"/>
  <c r="T65" i="14" s="1"/>
  <c r="U19" i="14"/>
  <c r="V16" i="14"/>
  <c r="W65" i="14" s="1"/>
  <c r="V19" i="14"/>
  <c r="W68" i="14" s="1"/>
  <c r="X100" i="14" s="1"/>
  <c r="W16" i="14"/>
  <c r="X65" i="14" s="1"/>
  <c r="X19" i="14"/>
  <c r="Y68" i="14" s="1"/>
  <c r="Z100" i="14" s="1"/>
  <c r="Y19" i="14"/>
  <c r="Z68" i="14" s="1"/>
  <c r="AA100" i="14" s="1"/>
  <c r="Y20" i="14"/>
  <c r="Z69" i="14" s="1"/>
  <c r="AA122" i="14" s="1"/>
  <c r="V69" i="14"/>
  <c r="W122" i="14" s="1"/>
  <c r="H67" i="14"/>
  <c r="I99" i="14" s="1"/>
  <c r="U21" i="14"/>
  <c r="V70" i="14" s="1"/>
  <c r="I67" i="14"/>
  <c r="J99" i="14" s="1"/>
  <c r="V21" i="14"/>
  <c r="W70" i="14" s="1"/>
  <c r="G67" i="14"/>
  <c r="H99" i="14" s="1"/>
  <c r="J67" i="14"/>
  <c r="K99" i="14" s="1"/>
  <c r="W21" i="14"/>
  <c r="X70" i="14" s="1"/>
  <c r="V68" i="14"/>
  <c r="W100" i="14" s="1"/>
  <c r="X21" i="14"/>
  <c r="Y70" i="14" s="1"/>
  <c r="X16" i="14"/>
  <c r="Y65" i="14" s="1"/>
  <c r="T70" i="14"/>
  <c r="K67" i="14"/>
  <c r="L99" i="14" s="1"/>
  <c r="L67" i="14"/>
  <c r="M99" i="14" s="1"/>
  <c r="Y21" i="14"/>
  <c r="Z70" i="14" s="1"/>
  <c r="Q16" i="14"/>
  <c r="R65" i="14" s="1"/>
  <c r="S145" i="14" s="1"/>
  <c r="Y16" i="14"/>
  <c r="M67" i="14"/>
  <c r="N99" i="14" s="1"/>
  <c r="T68" i="14"/>
  <c r="U100" i="14" s="1"/>
  <c r="T69" i="14"/>
  <c r="U122" i="14" s="1"/>
  <c r="F72" i="14"/>
  <c r="G101" i="14" s="1"/>
  <c r="R16" i="14"/>
  <c r="S65" i="14" s="1"/>
  <c r="F67" i="14"/>
  <c r="G99" i="14" s="1"/>
  <c r="N67" i="14"/>
  <c r="O99" i="14" s="1"/>
  <c r="G72" i="14"/>
  <c r="H101" i="14" s="1"/>
  <c r="P15" i="14"/>
  <c r="T15" i="14" s="1"/>
  <c r="U64" i="14" s="1"/>
  <c r="V120" i="14" s="1"/>
  <c r="P14" i="14"/>
  <c r="Q63" i="14" s="1"/>
  <c r="R98" i="14" s="1"/>
  <c r="M13" i="14"/>
  <c r="L13" i="14"/>
  <c r="K13" i="14"/>
  <c r="V14" i="14" l="1"/>
  <c r="W63" i="14" s="1"/>
  <c r="X98" i="14" s="1"/>
  <c r="W14" i="14"/>
  <c r="X63" i="14" s="1"/>
  <c r="Y98" i="14" s="1"/>
  <c r="X14" i="14"/>
  <c r="Y63" i="14" s="1"/>
  <c r="Z98" i="14" s="1"/>
  <c r="S68" i="14"/>
  <c r="T100" i="14" s="1"/>
  <c r="L146" i="14"/>
  <c r="Y14" i="14"/>
  <c r="Z63" i="14" s="1"/>
  <c r="AA98" i="14" s="1"/>
  <c r="N146" i="14"/>
  <c r="H146" i="14"/>
  <c r="H121" i="14"/>
  <c r="K146" i="14"/>
  <c r="R14" i="14"/>
  <c r="Z65" i="14"/>
  <c r="G146" i="14"/>
  <c r="G121" i="14"/>
  <c r="Y15" i="14"/>
  <c r="Z64" i="14" s="1"/>
  <c r="AA120" i="14" s="1"/>
  <c r="V15" i="14"/>
  <c r="W64" i="14" s="1"/>
  <c r="X120" i="14" s="1"/>
  <c r="U15" i="14"/>
  <c r="V64" i="14" s="1"/>
  <c r="W120" i="14" s="1"/>
  <c r="X15" i="14"/>
  <c r="Y64" i="14" s="1"/>
  <c r="Z120" i="14" s="1"/>
  <c r="W15" i="14"/>
  <c r="X64" i="14" s="1"/>
  <c r="Y120" i="14" s="1"/>
  <c r="L62" i="14"/>
  <c r="M97" i="14" s="1"/>
  <c r="S14" i="14"/>
  <c r="T63" i="14" s="1"/>
  <c r="U98" i="14" s="1"/>
  <c r="Q15" i="14"/>
  <c r="H148" i="14"/>
  <c r="H123" i="14"/>
  <c r="G148" i="14"/>
  <c r="G123" i="14"/>
  <c r="I146" i="14"/>
  <c r="I121" i="14"/>
  <c r="M62" i="14"/>
  <c r="N97" i="14" s="1"/>
  <c r="R15" i="14"/>
  <c r="S64" i="14" s="1"/>
  <c r="T120" i="14" s="1"/>
  <c r="S70" i="14"/>
  <c r="M146" i="14"/>
  <c r="J146" i="14"/>
  <c r="J121" i="14"/>
  <c r="T14" i="14"/>
  <c r="U63" i="14" s="1"/>
  <c r="V98" i="14" s="1"/>
  <c r="N62" i="14"/>
  <c r="O97" i="14" s="1"/>
  <c r="U14" i="14"/>
  <c r="V63" i="14" s="1"/>
  <c r="W98" i="14" s="1"/>
  <c r="S15" i="14"/>
  <c r="T64" i="14" s="1"/>
  <c r="U120" i="14" s="1"/>
  <c r="O146" i="14"/>
  <c r="S69" i="14"/>
  <c r="T122" i="14" s="1"/>
  <c r="J13" i="14"/>
  <c r="I13" i="14"/>
  <c r="H13" i="14"/>
  <c r="G13" i="14"/>
  <c r="F13" i="14"/>
  <c r="E13" i="14"/>
  <c r="P11" i="14"/>
  <c r="Q60" i="14" s="1"/>
  <c r="R143" i="14" s="1"/>
  <c r="P10" i="14"/>
  <c r="X10" i="14" s="1"/>
  <c r="Y59" i="14" s="1"/>
  <c r="Z118" i="14" s="1"/>
  <c r="P9" i="14"/>
  <c r="Q58" i="14" s="1"/>
  <c r="R96" i="14" s="1"/>
  <c r="R9" i="14" l="1"/>
  <c r="S58" i="14" s="1"/>
  <c r="T96" i="14" s="1"/>
  <c r="S10" i="14"/>
  <c r="T59" i="14" s="1"/>
  <c r="U118" i="14" s="1"/>
  <c r="X9" i="14"/>
  <c r="Y58" i="14" s="1"/>
  <c r="Z96" i="14" s="1"/>
  <c r="X11" i="14"/>
  <c r="Q9" i="14"/>
  <c r="R58" i="14" s="1"/>
  <c r="S96" i="14" s="1"/>
  <c r="T9" i="14"/>
  <c r="U58" i="14" s="1"/>
  <c r="V96" i="14" s="1"/>
  <c r="T10" i="14"/>
  <c r="U59" i="14" s="1"/>
  <c r="V118" i="14" s="1"/>
  <c r="S9" i="14"/>
  <c r="T58" i="14" s="1"/>
  <c r="U96" i="14" s="1"/>
  <c r="U9" i="14"/>
  <c r="V58" i="14" s="1"/>
  <c r="W96" i="14" s="1"/>
  <c r="Q10" i="14"/>
  <c r="R10" i="14"/>
  <c r="S59" i="14" s="1"/>
  <c r="T118" i="14" s="1"/>
  <c r="U10" i="14"/>
  <c r="V59" i="14" s="1"/>
  <c r="W118" i="14" s="1"/>
  <c r="W9" i="14"/>
  <c r="X58" i="14" s="1"/>
  <c r="Y96" i="14" s="1"/>
  <c r="Y10" i="14"/>
  <c r="Z59" i="14" s="1"/>
  <c r="AA118" i="14" s="1"/>
  <c r="W11" i="14"/>
  <c r="X60" i="14" s="1"/>
  <c r="Y60" i="14"/>
  <c r="Q11" i="14"/>
  <c r="R60" i="14" s="1"/>
  <c r="S143" i="14" s="1"/>
  <c r="M144" i="14"/>
  <c r="AB105" i="14"/>
  <c r="AB107" i="14" s="1"/>
  <c r="F62" i="14"/>
  <c r="G97" i="14" s="1"/>
  <c r="R11" i="14"/>
  <c r="S60" i="14" s="1"/>
  <c r="G62" i="14"/>
  <c r="H97" i="14" s="1"/>
  <c r="Y11" i="14"/>
  <c r="Z60" i="14" s="1"/>
  <c r="R64" i="14"/>
  <c r="S120" i="14" s="1"/>
  <c r="V9" i="14"/>
  <c r="W58" i="14" s="1"/>
  <c r="X96" i="14" s="1"/>
  <c r="S11" i="14"/>
  <c r="T60" i="14" s="1"/>
  <c r="O144" i="14"/>
  <c r="N144" i="14" s="1"/>
  <c r="V10" i="14"/>
  <c r="W59" i="14" s="1"/>
  <c r="X118" i="14" s="1"/>
  <c r="T11" i="14"/>
  <c r="U60" i="14" s="1"/>
  <c r="I62" i="14"/>
  <c r="J97" i="14" s="1"/>
  <c r="R69" i="14"/>
  <c r="S122" i="14" s="1"/>
  <c r="Y9" i="14"/>
  <c r="Z58" i="14" s="1"/>
  <c r="AA96" i="14" s="1"/>
  <c r="W10" i="14"/>
  <c r="X59" i="14" s="1"/>
  <c r="Y118" i="14" s="1"/>
  <c r="U11" i="14"/>
  <c r="V60" i="14" s="1"/>
  <c r="J62" i="14"/>
  <c r="K97" i="14" s="1"/>
  <c r="R59" i="14"/>
  <c r="S118" i="14" s="1"/>
  <c r="H62" i="14"/>
  <c r="I97" i="14" s="1"/>
  <c r="V11" i="14"/>
  <c r="W60" i="14" s="1"/>
  <c r="K62" i="14"/>
  <c r="L97" i="14" s="1"/>
  <c r="R70" i="14"/>
  <c r="Q14" i="14"/>
  <c r="R63" i="14" s="1"/>
  <c r="S98" i="14" s="1"/>
  <c r="S63" i="14"/>
  <c r="T98" i="14" s="1"/>
  <c r="J119" i="14" l="1"/>
  <c r="I119" i="14" s="1"/>
  <c r="Q64" i="14"/>
  <c r="R120" i="14" s="1"/>
  <c r="I144" i="14"/>
  <c r="H144" i="14"/>
  <c r="H119" i="14"/>
  <c r="Q70" i="14"/>
  <c r="R147" i="14" s="1"/>
  <c r="S147" i="14"/>
  <c r="Q59" i="14"/>
  <c r="R118" i="14" s="1"/>
  <c r="Q69" i="14"/>
  <c r="R122" i="14" s="1"/>
  <c r="G144" i="14"/>
  <c r="G119" i="14"/>
  <c r="L144" i="14"/>
  <c r="K144" i="14" s="1"/>
  <c r="J144" i="14" s="1"/>
  <c r="F8" i="14"/>
  <c r="E8" i="14"/>
  <c r="E44" i="14" s="1"/>
  <c r="E6" i="14"/>
  <c r="Y6" i="14" s="1"/>
  <c r="N6" i="14" l="1"/>
  <c r="F6" i="14"/>
  <c r="P6" i="14"/>
  <c r="Q55" i="14" s="1"/>
  <c r="S6" i="14"/>
  <c r="T55" i="14" s="1"/>
  <c r="W6" i="14"/>
  <c r="O6" i="14"/>
  <c r="P55" i="14" s="1"/>
  <c r="X6" i="14"/>
  <c r="Y55" i="14" s="1"/>
  <c r="G6" i="14"/>
  <c r="H55" i="14" s="1"/>
  <c r="I94" i="14" s="1"/>
  <c r="K6" i="14"/>
  <c r="T6" i="14"/>
  <c r="H6" i="14"/>
  <c r="Q6" i="14"/>
  <c r="I6" i="14"/>
  <c r="R6" i="14"/>
  <c r="J6" i="14"/>
  <c r="K55" i="14" s="1"/>
  <c r="L94" i="14" s="1"/>
  <c r="L6" i="14"/>
  <c r="M55" i="14" s="1"/>
  <c r="N94" i="14" s="1"/>
  <c r="V6" i="14"/>
  <c r="W55" i="14"/>
  <c r="F43" i="14"/>
  <c r="E43" i="14" s="1"/>
  <c r="G55" i="14"/>
  <c r="H94" i="14" s="1"/>
  <c r="F46" i="14"/>
  <c r="F47" i="14"/>
  <c r="F45" i="14"/>
  <c r="O55" i="14"/>
  <c r="P94" i="14" s="1"/>
  <c r="X55" i="14"/>
  <c r="I55" i="14"/>
  <c r="J94" i="14" s="1"/>
  <c r="J55" i="14"/>
  <c r="K94" i="14" s="1"/>
  <c r="R55" i="14"/>
  <c r="F44" i="14"/>
  <c r="U55" i="14"/>
  <c r="S55" i="14"/>
  <c r="L55" i="14"/>
  <c r="M94" i="14" s="1"/>
  <c r="E47" i="14"/>
  <c r="E46" i="14"/>
  <c r="E45" i="14"/>
  <c r="M6" i="14"/>
  <c r="U6" i="14"/>
  <c r="Z94" i="14" l="1"/>
  <c r="Z116" i="14"/>
  <c r="Q94" i="14"/>
  <c r="U94" i="14"/>
  <c r="U116" i="14"/>
  <c r="R94" i="14"/>
  <c r="R116" i="14"/>
  <c r="S94" i="14"/>
  <c r="S116" i="14"/>
  <c r="Y94" i="14"/>
  <c r="Y116" i="14"/>
  <c r="V94" i="14"/>
  <c r="V116" i="14"/>
  <c r="X94" i="14"/>
  <c r="X116" i="14"/>
  <c r="T94" i="14"/>
  <c r="T116" i="14"/>
  <c r="K141" i="14"/>
  <c r="P141" i="14"/>
  <c r="L141" i="14"/>
  <c r="I141" i="14"/>
  <c r="I116" i="14"/>
  <c r="R141" i="14"/>
  <c r="V55" i="14"/>
  <c r="M141" i="14"/>
  <c r="N55" i="14"/>
  <c r="O94" i="14" s="1"/>
  <c r="S141" i="14"/>
  <c r="J141" i="14"/>
  <c r="J116" i="14"/>
  <c r="F55" i="14"/>
  <c r="G94" i="14" s="1"/>
  <c r="H141" i="14"/>
  <c r="H116" i="14"/>
  <c r="N141" i="14"/>
  <c r="Q141" i="14"/>
  <c r="D23" i="16"/>
  <c r="I179" i="14" s="1"/>
  <c r="I181" i="14" s="1"/>
  <c r="C23" i="16"/>
  <c r="H179" i="14" s="1"/>
  <c r="H181" i="14" s="1"/>
  <c r="B23" i="16"/>
  <c r="E22" i="16"/>
  <c r="J197" i="14" s="1"/>
  <c r="J198" i="14" s="1"/>
  <c r="E21" i="16"/>
  <c r="F21" i="16" s="1"/>
  <c r="H18" i="16"/>
  <c r="D18" i="16"/>
  <c r="I174" i="14" s="1"/>
  <c r="I176" i="14" s="1"/>
  <c r="C18" i="16"/>
  <c r="H174" i="14" s="1"/>
  <c r="H176" i="14" s="1"/>
  <c r="B18" i="16"/>
  <c r="I17" i="16"/>
  <c r="E17" i="16"/>
  <c r="J192" i="14" s="1"/>
  <c r="J193" i="14" s="1"/>
  <c r="I16" i="16"/>
  <c r="I18" i="16" s="1"/>
  <c r="N174" i="14" s="1"/>
  <c r="E16" i="16"/>
  <c r="E18" i="16" s="1"/>
  <c r="J174" i="14" s="1"/>
  <c r="D13" i="16"/>
  <c r="I171" i="14" s="1"/>
  <c r="I173" i="14" s="1"/>
  <c r="C13" i="16"/>
  <c r="H171" i="14" s="1"/>
  <c r="H173" i="14" s="1"/>
  <c r="B13" i="16"/>
  <c r="E12" i="16"/>
  <c r="J189" i="14" s="1"/>
  <c r="E11" i="16"/>
  <c r="G33" i="12" l="1"/>
  <c r="J42" i="19" s="1"/>
  <c r="J175" i="14"/>
  <c r="J190" i="14"/>
  <c r="W94" i="14"/>
  <c r="W116" i="14"/>
  <c r="G174" i="14"/>
  <c r="G176" i="14" s="1"/>
  <c r="E23" i="16"/>
  <c r="J179" i="14" s="1"/>
  <c r="J180" i="14" s="1"/>
  <c r="G171" i="14"/>
  <c r="O141" i="14"/>
  <c r="M174" i="14"/>
  <c r="F22" i="16"/>
  <c r="K197" i="14" s="1"/>
  <c r="K198" i="14" s="1"/>
  <c r="H307" i="14"/>
  <c r="J199" i="14"/>
  <c r="E13" i="16"/>
  <c r="J171" i="14" s="1"/>
  <c r="H306" i="14"/>
  <c r="J194" i="14"/>
  <c r="G179" i="14"/>
  <c r="G181" i="14" s="1"/>
  <c r="G141" i="14"/>
  <c r="G116" i="14"/>
  <c r="N192" i="14"/>
  <c r="H265" i="14" l="1"/>
  <c r="G32" i="19"/>
  <c r="J41" i="19" s="1"/>
  <c r="J129" i="14"/>
  <c r="J191" i="14"/>
  <c r="J172" i="14"/>
  <c r="J176" i="14"/>
  <c r="H266" i="14"/>
  <c r="J181" i="14"/>
  <c r="J153" i="14"/>
  <c r="G173" i="14"/>
  <c r="F23" i="16"/>
  <c r="K179" i="14" s="1"/>
  <c r="K180" i="14" s="1"/>
  <c r="I307" i="14"/>
  <c r="K199" i="14"/>
  <c r="J173" i="14" l="1"/>
  <c r="H264" i="14"/>
  <c r="J105" i="14"/>
  <c r="I266" i="14"/>
  <c r="K181" i="14"/>
  <c r="K153" i="14"/>
  <c r="D22" i="19" l="1"/>
  <c r="D23" i="19"/>
  <c r="D24" i="19"/>
  <c r="D25" i="19"/>
  <c r="C58" i="18"/>
  <c r="E22" i="19"/>
  <c r="E25" i="19" s="1"/>
  <c r="E23" i="19"/>
  <c r="E24" i="19"/>
  <c r="G24" i="19"/>
  <c r="G25" i="19" s="1"/>
  <c r="F24" i="19"/>
  <c r="F25" i="19" s="1"/>
  <c r="G23" i="19"/>
  <c r="F23" i="19"/>
  <c r="F22" i="19"/>
  <c r="G22" i="19"/>
  <c r="D27" i="20"/>
  <c r="D28" i="20"/>
  <c r="D29" i="20"/>
  <c r="D31" i="20" s="1"/>
  <c r="D30" i="20"/>
  <c r="E27" i="20"/>
  <c r="E28" i="20"/>
  <c r="E29" i="20"/>
  <c r="E30" i="20"/>
  <c r="E31" i="20"/>
  <c r="F27" i="20"/>
  <c r="F28" i="20"/>
  <c r="F29" i="20"/>
  <c r="F30" i="20"/>
  <c r="B36" i="18"/>
  <c r="B37" i="18"/>
  <c r="B39" i="18" s="1"/>
  <c r="B33" i="18"/>
  <c r="E36" i="19"/>
  <c r="C143" i="18"/>
  <c r="F36" i="19"/>
  <c r="D143" i="18"/>
  <c r="B143" i="18"/>
  <c r="W143" i="18" s="1"/>
  <c r="W144" i="18"/>
  <c r="E144" i="18"/>
  <c r="D144" i="18"/>
  <c r="C144" i="18"/>
  <c r="D36" i="19"/>
  <c r="B145" i="18"/>
  <c r="W145" i="18" s="1"/>
  <c r="D145" i="18"/>
  <c r="C145" i="18"/>
  <c r="W153" i="18"/>
  <c r="E153" i="18"/>
  <c r="D153" i="18"/>
  <c r="C153" i="18"/>
  <c r="B154" i="18"/>
  <c r="W154" i="18" s="1"/>
  <c r="E154" i="18"/>
  <c r="D154" i="18"/>
  <c r="C154" i="18"/>
  <c r="F31" i="20" l="1"/>
  <c r="C40" i="21" l="1"/>
  <c r="G57" i="14" l="1"/>
  <c r="H95" i="14" s="1"/>
  <c r="H117" i="14"/>
  <c r="H128" i="14" s="1"/>
  <c r="H130" i="14" s="1"/>
  <c r="C58" i="9" s="1"/>
  <c r="C6" i="16"/>
  <c r="C27" i="16" s="1"/>
  <c r="C30" i="16" s="1"/>
  <c r="F57" i="14"/>
  <c r="G95" i="14" s="1"/>
  <c r="B6" i="16"/>
  <c r="B27" i="16" s="1"/>
  <c r="E22" i="12"/>
  <c r="E23" i="12"/>
  <c r="E24" i="12"/>
  <c r="E25" i="12"/>
  <c r="G36" i="14"/>
  <c r="G8" i="14"/>
  <c r="H57" i="14"/>
  <c r="G39" i="14"/>
  <c r="G23" i="14" s="1"/>
  <c r="H72" i="14" s="1"/>
  <c r="F22" i="12"/>
  <c r="F23" i="12"/>
  <c r="F24" i="12"/>
  <c r="F25" i="12"/>
  <c r="D24" i="18"/>
  <c r="E24" i="18" s="1"/>
  <c r="F24" i="18" s="1"/>
  <c r="H36" i="14"/>
  <c r="G18" i="12"/>
  <c r="G19" i="12"/>
  <c r="G21" i="12"/>
  <c r="G22" i="12"/>
  <c r="G23" i="12"/>
  <c r="G24" i="12"/>
  <c r="G25" i="12"/>
  <c r="E13" i="9"/>
  <c r="G11" i="12"/>
  <c r="G26" i="12"/>
  <c r="E14" i="9"/>
  <c r="G12" i="12"/>
  <c r="G27" i="12"/>
  <c r="E15" i="9"/>
  <c r="G13" i="12"/>
  <c r="G28" i="12"/>
  <c r="E16" i="9"/>
  <c r="G14" i="12"/>
  <c r="G29" i="12"/>
  <c r="E17" i="9"/>
  <c r="G15" i="12"/>
  <c r="G30" i="12"/>
  <c r="G31" i="12"/>
  <c r="E53" i="9"/>
  <c r="E54" i="9"/>
  <c r="E55" i="9"/>
  <c r="E56" i="9"/>
  <c r="E57" i="9"/>
  <c r="K116" i="14"/>
  <c r="K119" i="14"/>
  <c r="K121" i="14"/>
  <c r="F16" i="16"/>
  <c r="F17" i="16"/>
  <c r="F18" i="16"/>
  <c r="K174" i="14"/>
  <c r="K175" i="14" s="1"/>
  <c r="L175" i="14" s="1"/>
  <c r="M175" i="14" s="1"/>
  <c r="N175" i="14" s="1"/>
  <c r="K192" i="14"/>
  <c r="K193" i="14" s="1"/>
  <c r="AE4" i="12"/>
  <c r="H18" i="12"/>
  <c r="H19" i="12"/>
  <c r="H20" i="12"/>
  <c r="H21" i="12"/>
  <c r="H22" i="12"/>
  <c r="H23" i="12"/>
  <c r="H24" i="12"/>
  <c r="H25" i="12"/>
  <c r="F13" i="9"/>
  <c r="H11" i="12"/>
  <c r="H26" i="12"/>
  <c r="F14" i="9"/>
  <c r="H12" i="12"/>
  <c r="H27" i="12"/>
  <c r="F15" i="9"/>
  <c r="H13" i="12"/>
  <c r="H28" i="12"/>
  <c r="F16" i="9"/>
  <c r="H14" i="12"/>
  <c r="H29" i="12"/>
  <c r="F17" i="9"/>
  <c r="H15" i="12"/>
  <c r="H30" i="12"/>
  <c r="H31" i="12"/>
  <c r="F53" i="9"/>
  <c r="F54" i="9"/>
  <c r="F55" i="9"/>
  <c r="F56" i="9"/>
  <c r="F57" i="9"/>
  <c r="L116" i="14"/>
  <c r="L119" i="14"/>
  <c r="L121" i="14"/>
  <c r="G16" i="16"/>
  <c r="G17" i="16"/>
  <c r="G18" i="16"/>
  <c r="L174" i="14"/>
  <c r="L192" i="14"/>
  <c r="AF4" i="12"/>
  <c r="I18" i="12"/>
  <c r="I19" i="12"/>
  <c r="I20" i="12"/>
  <c r="I21" i="12"/>
  <c r="I22" i="12"/>
  <c r="I23" i="12"/>
  <c r="I24" i="12"/>
  <c r="I25" i="12"/>
  <c r="G13" i="9"/>
  <c r="I11" i="12"/>
  <c r="I26" i="12"/>
  <c r="G14" i="9"/>
  <c r="I12" i="12"/>
  <c r="I27" i="12"/>
  <c r="G15" i="9"/>
  <c r="I13" i="12"/>
  <c r="I28" i="12"/>
  <c r="G16" i="9"/>
  <c r="I14" i="12"/>
  <c r="I29" i="12"/>
  <c r="G17" i="9"/>
  <c r="I15" i="12"/>
  <c r="I30" i="12"/>
  <c r="I31" i="12"/>
  <c r="G53" i="9"/>
  <c r="G54" i="9"/>
  <c r="G55" i="9"/>
  <c r="G56" i="9"/>
  <c r="G57" i="9"/>
  <c r="M116" i="14"/>
  <c r="M119" i="14"/>
  <c r="M121" i="14"/>
  <c r="AG4" i="12"/>
  <c r="J18" i="12"/>
  <c r="J19" i="12"/>
  <c r="J20" i="12"/>
  <c r="J21" i="12"/>
  <c r="J22" i="12"/>
  <c r="J23" i="12"/>
  <c r="J24" i="12"/>
  <c r="J25" i="12"/>
  <c r="H13" i="9"/>
  <c r="J11" i="12"/>
  <c r="J26" i="12"/>
  <c r="H14" i="9"/>
  <c r="J12" i="12"/>
  <c r="J27" i="12"/>
  <c r="H15" i="9"/>
  <c r="J13" i="12"/>
  <c r="J28" i="12"/>
  <c r="H16" i="9"/>
  <c r="J14" i="12"/>
  <c r="J29" i="12"/>
  <c r="H17" i="9"/>
  <c r="J15" i="12"/>
  <c r="J30" i="12"/>
  <c r="J31" i="12"/>
  <c r="H53" i="9"/>
  <c r="H54" i="9"/>
  <c r="H55" i="9"/>
  <c r="H56" i="9"/>
  <c r="H57" i="9"/>
  <c r="N116" i="14"/>
  <c r="N119" i="14"/>
  <c r="N121" i="14"/>
  <c r="AH4" i="12"/>
  <c r="K18" i="12"/>
  <c r="K19" i="12"/>
  <c r="K20" i="12"/>
  <c r="I6" i="9"/>
  <c r="K6" i="12"/>
  <c r="K21" i="12"/>
  <c r="K22" i="12"/>
  <c r="K23" i="12"/>
  <c r="K24" i="12"/>
  <c r="K25" i="12"/>
  <c r="I13" i="9"/>
  <c r="K11" i="12"/>
  <c r="K26" i="12"/>
  <c r="I14" i="9"/>
  <c r="K12" i="12"/>
  <c r="K27" i="12"/>
  <c r="I15" i="9"/>
  <c r="K13" i="12"/>
  <c r="K28" i="12"/>
  <c r="I16" i="9"/>
  <c r="K14" i="12"/>
  <c r="K29" i="12"/>
  <c r="I17" i="9"/>
  <c r="K15" i="12"/>
  <c r="K30" i="12"/>
  <c r="K31" i="12"/>
  <c r="I49" i="9"/>
  <c r="I53" i="9"/>
  <c r="I54" i="9"/>
  <c r="I55" i="9"/>
  <c r="I56" i="9"/>
  <c r="I57" i="9"/>
  <c r="O116" i="14"/>
  <c r="O119" i="14"/>
  <c r="O121" i="14"/>
  <c r="J16" i="16"/>
  <c r="J17" i="16"/>
  <c r="J18" i="16"/>
  <c r="O174" i="14"/>
  <c r="O192" i="14"/>
  <c r="AI4" i="12"/>
  <c r="L18" i="12"/>
  <c r="L19" i="12"/>
  <c r="L20" i="12"/>
  <c r="J6" i="9"/>
  <c r="L6" i="12"/>
  <c r="L21" i="12"/>
  <c r="L22" i="12"/>
  <c r="L23" i="12"/>
  <c r="L24" i="12"/>
  <c r="L25" i="12"/>
  <c r="J13" i="9"/>
  <c r="L11" i="12"/>
  <c r="L26" i="12"/>
  <c r="J14" i="9"/>
  <c r="L12" i="12"/>
  <c r="L27" i="12"/>
  <c r="J15" i="9"/>
  <c r="L13" i="12"/>
  <c r="L28" i="12"/>
  <c r="J16" i="9"/>
  <c r="L14" i="12"/>
  <c r="L29" i="12"/>
  <c r="J17" i="9"/>
  <c r="L15" i="12"/>
  <c r="L30" i="12"/>
  <c r="L31" i="12"/>
  <c r="J49" i="9"/>
  <c r="J53" i="9"/>
  <c r="J54" i="9"/>
  <c r="J55" i="9"/>
  <c r="J56" i="9"/>
  <c r="J57" i="9"/>
  <c r="P116" i="14"/>
  <c r="N29" i="14"/>
  <c r="N13" i="14"/>
  <c r="O62" i="14" s="1"/>
  <c r="N18" i="14"/>
  <c r="O67" i="14"/>
  <c r="P99" i="14" s="1"/>
  <c r="P121" i="14"/>
  <c r="K16" i="16"/>
  <c r="K17" i="16"/>
  <c r="K18" i="16"/>
  <c r="P174" i="14"/>
  <c r="P192" i="14"/>
  <c r="AJ4" i="12"/>
  <c r="M18" i="12"/>
  <c r="M19" i="12"/>
  <c r="M20" i="12"/>
  <c r="K6" i="9"/>
  <c r="M6" i="12"/>
  <c r="M21" i="12"/>
  <c r="M22" i="12"/>
  <c r="K8" i="9"/>
  <c r="M8" i="12"/>
  <c r="M23" i="12"/>
  <c r="M24" i="12"/>
  <c r="M25" i="12"/>
  <c r="K13" i="9"/>
  <c r="M11" i="12"/>
  <c r="M26" i="12"/>
  <c r="K14" i="9"/>
  <c r="M12" i="12"/>
  <c r="M27" i="12"/>
  <c r="K15" i="9"/>
  <c r="M13" i="12"/>
  <c r="M28" i="12"/>
  <c r="K16" i="9"/>
  <c r="M14" i="12"/>
  <c r="M29" i="12"/>
  <c r="K17" i="9"/>
  <c r="M15" i="12"/>
  <c r="M30" i="12"/>
  <c r="M31" i="12"/>
  <c r="K49" i="9"/>
  <c r="K51" i="9"/>
  <c r="K53" i="9"/>
  <c r="K54" i="9"/>
  <c r="K55" i="9"/>
  <c r="K56" i="9"/>
  <c r="K57" i="9"/>
  <c r="Q116" i="14"/>
  <c r="O29" i="14"/>
  <c r="O18" i="14" s="1"/>
  <c r="P67" i="14"/>
  <c r="L16" i="16"/>
  <c r="L17" i="16"/>
  <c r="L18" i="16"/>
  <c r="Q174" i="14"/>
  <c r="Q192" i="14"/>
  <c r="N25" i="12"/>
  <c r="N19" i="12"/>
  <c r="N20" i="12"/>
  <c r="L6" i="9"/>
  <c r="N6" i="12"/>
  <c r="N21" i="12"/>
  <c r="N22" i="12"/>
  <c r="L8" i="9"/>
  <c r="N8" i="12"/>
  <c r="N23" i="12"/>
  <c r="N24" i="12"/>
  <c r="L13" i="9"/>
  <c r="N11" i="12"/>
  <c r="N26" i="12"/>
  <c r="N31" i="12" s="1"/>
  <c r="L14" i="9"/>
  <c r="N12" i="12"/>
  <c r="N27" i="12"/>
  <c r="L15" i="9"/>
  <c r="N13" i="12"/>
  <c r="N28" i="12"/>
  <c r="L16" i="9"/>
  <c r="N14" i="12"/>
  <c r="N29" i="12"/>
  <c r="L17" i="9"/>
  <c r="N15" i="12"/>
  <c r="N30" i="12"/>
  <c r="L49" i="9"/>
  <c r="L51" i="9"/>
  <c r="L53" i="9"/>
  <c r="L54" i="9"/>
  <c r="L55" i="9"/>
  <c r="L56" i="9"/>
  <c r="L57" i="9"/>
  <c r="Q74" i="14"/>
  <c r="R124" i="14" s="1"/>
  <c r="R128" i="14" s="1"/>
  <c r="P218" i="14" s="1"/>
  <c r="M16" i="16"/>
  <c r="M17" i="16"/>
  <c r="M18" i="16"/>
  <c r="R174" i="14"/>
  <c r="R192" i="14"/>
  <c r="Q78" i="14"/>
  <c r="M6" i="16" s="1"/>
  <c r="M27" i="16" s="1"/>
  <c r="O18" i="12"/>
  <c r="O19" i="12"/>
  <c r="O20" i="12"/>
  <c r="O6" i="12"/>
  <c r="O21" i="12"/>
  <c r="O22" i="12"/>
  <c r="M8" i="9"/>
  <c r="O8" i="12"/>
  <c r="O23" i="12"/>
  <c r="O24" i="12"/>
  <c r="M13" i="9"/>
  <c r="O11" i="12"/>
  <c r="O26" i="12"/>
  <c r="M14" i="9"/>
  <c r="O12" i="12"/>
  <c r="O27" i="12"/>
  <c r="M15" i="9"/>
  <c r="O13" i="12"/>
  <c r="O28" i="12"/>
  <c r="M16" i="9"/>
  <c r="O14" i="12"/>
  <c r="O29" i="12"/>
  <c r="M17" i="9"/>
  <c r="O15" i="12"/>
  <c r="O30" i="12"/>
  <c r="M51" i="9"/>
  <c r="M53" i="9"/>
  <c r="M54" i="9"/>
  <c r="M55" i="9"/>
  <c r="M56" i="9"/>
  <c r="M57" i="9"/>
  <c r="N16" i="16"/>
  <c r="N17" i="16"/>
  <c r="N18" i="16"/>
  <c r="S174" i="14"/>
  <c r="S192" i="14"/>
  <c r="N3" i="9"/>
  <c r="P3" i="12"/>
  <c r="P22" i="12"/>
  <c r="P19" i="12"/>
  <c r="P20" i="12"/>
  <c r="P21" i="12"/>
  <c r="N8" i="9"/>
  <c r="P8" i="12"/>
  <c r="P23" i="12"/>
  <c r="N9" i="9"/>
  <c r="P9" i="12"/>
  <c r="P24" i="12"/>
  <c r="N13" i="9"/>
  <c r="P11" i="12"/>
  <c r="P26" i="12"/>
  <c r="N14" i="9"/>
  <c r="P12" i="12"/>
  <c r="P27" i="12"/>
  <c r="N15" i="9"/>
  <c r="P13" i="12"/>
  <c r="P28" i="12"/>
  <c r="N16" i="9"/>
  <c r="P14" i="12"/>
  <c r="P29" i="12"/>
  <c r="N17" i="9"/>
  <c r="P15" i="12"/>
  <c r="P30" i="12"/>
  <c r="N46" i="9"/>
  <c r="N51" i="9"/>
  <c r="N52" i="9"/>
  <c r="N53" i="9"/>
  <c r="N54" i="9"/>
  <c r="N55" i="9"/>
  <c r="N56" i="9"/>
  <c r="N57" i="9"/>
  <c r="O16" i="16"/>
  <c r="O17" i="16"/>
  <c r="O18" i="16"/>
  <c r="T174" i="14"/>
  <c r="T192" i="14"/>
  <c r="O3" i="9"/>
  <c r="Q3" i="12"/>
  <c r="Q26" i="12"/>
  <c r="Q18" i="12"/>
  <c r="Q20" i="12"/>
  <c r="Q21" i="12"/>
  <c r="Q22" i="12"/>
  <c r="O8" i="9"/>
  <c r="Q8" i="12"/>
  <c r="Q23" i="12"/>
  <c r="O9" i="9"/>
  <c r="Q9" i="12"/>
  <c r="Q24" i="12"/>
  <c r="O13" i="9"/>
  <c r="Q11" i="12"/>
  <c r="O14" i="9"/>
  <c r="Q12" i="12"/>
  <c r="O15" i="9"/>
  <c r="Q13" i="12"/>
  <c r="Q28" i="12"/>
  <c r="O16" i="9"/>
  <c r="Q14" i="12"/>
  <c r="Q29" i="12"/>
  <c r="O17" i="9"/>
  <c r="Q15" i="12"/>
  <c r="Q30" i="12"/>
  <c r="O46" i="9"/>
  <c r="O51" i="9"/>
  <c r="O52" i="9"/>
  <c r="O53" i="9"/>
  <c r="O54" i="9"/>
  <c r="O55" i="9"/>
  <c r="O56" i="9"/>
  <c r="O57" i="9"/>
  <c r="P16" i="16"/>
  <c r="P17" i="16"/>
  <c r="P18" i="16"/>
  <c r="U174" i="14"/>
  <c r="U192" i="14"/>
  <c r="P3" i="9"/>
  <c r="R3" i="12"/>
  <c r="R26" i="12"/>
  <c r="R18" i="12"/>
  <c r="R19" i="12"/>
  <c r="R20" i="12"/>
  <c r="R21" i="12"/>
  <c r="R22" i="12"/>
  <c r="P8" i="9"/>
  <c r="R8" i="12"/>
  <c r="R23" i="12"/>
  <c r="P9" i="9"/>
  <c r="R9" i="12"/>
  <c r="R24" i="12"/>
  <c r="P13" i="9"/>
  <c r="R11" i="12"/>
  <c r="P14" i="9"/>
  <c r="R12" i="12"/>
  <c r="R27" i="12"/>
  <c r="P15" i="9"/>
  <c r="R13" i="12"/>
  <c r="R28" i="12"/>
  <c r="P16" i="9"/>
  <c r="R14" i="12"/>
  <c r="R29" i="12"/>
  <c r="P17" i="9"/>
  <c r="R15" i="12"/>
  <c r="R30" i="12"/>
  <c r="P46" i="9"/>
  <c r="P51" i="9"/>
  <c r="P52" i="9"/>
  <c r="P53" i="9"/>
  <c r="P54" i="9"/>
  <c r="P55" i="9"/>
  <c r="P56" i="9"/>
  <c r="P57" i="9"/>
  <c r="Q16" i="16"/>
  <c r="Q17" i="16"/>
  <c r="Q18" i="16"/>
  <c r="V174" i="14"/>
  <c r="V192" i="14"/>
  <c r="Q3" i="9"/>
  <c r="S3" i="12"/>
  <c r="S18" i="12"/>
  <c r="S19" i="12"/>
  <c r="S20" i="12"/>
  <c r="S21" i="12"/>
  <c r="S22" i="12"/>
  <c r="Q8" i="9"/>
  <c r="S8" i="12"/>
  <c r="S23" i="12"/>
  <c r="Q9" i="9"/>
  <c r="S9" i="12"/>
  <c r="S24" i="12"/>
  <c r="Q13" i="9"/>
  <c r="S11" i="12"/>
  <c r="S26" i="12"/>
  <c r="Q14" i="9"/>
  <c r="S12" i="12"/>
  <c r="S27" i="12"/>
  <c r="Q15" i="9"/>
  <c r="S13" i="12"/>
  <c r="S28" i="12"/>
  <c r="Q16" i="9"/>
  <c r="S14" i="12"/>
  <c r="S29" i="12"/>
  <c r="Q17" i="9"/>
  <c r="S15" i="12"/>
  <c r="S30" i="12"/>
  <c r="Q46" i="9"/>
  <c r="Q51" i="9"/>
  <c r="Q52" i="9"/>
  <c r="Q53" i="9"/>
  <c r="Q54" i="9"/>
  <c r="Q55" i="9"/>
  <c r="Q56" i="9"/>
  <c r="Q57" i="9"/>
  <c r="R16" i="16"/>
  <c r="R17" i="16"/>
  <c r="R18" i="16"/>
  <c r="W174" i="14"/>
  <c r="W192" i="14"/>
  <c r="R3" i="9"/>
  <c r="T3" i="12"/>
  <c r="T18" i="12"/>
  <c r="T19" i="12"/>
  <c r="T20" i="12"/>
  <c r="T21" i="12"/>
  <c r="T22" i="12"/>
  <c r="R8" i="9"/>
  <c r="T8" i="12"/>
  <c r="T23" i="12"/>
  <c r="R9" i="9"/>
  <c r="T9" i="12"/>
  <c r="T24" i="12"/>
  <c r="R13" i="9"/>
  <c r="T11" i="12"/>
  <c r="T26" i="12"/>
  <c r="R14" i="9"/>
  <c r="T12" i="12"/>
  <c r="T27" i="12"/>
  <c r="R15" i="9"/>
  <c r="T13" i="12"/>
  <c r="T28" i="12"/>
  <c r="R16" i="9"/>
  <c r="T14" i="12"/>
  <c r="T29" i="12"/>
  <c r="R17" i="9"/>
  <c r="T15" i="12"/>
  <c r="T30" i="12"/>
  <c r="R46" i="9"/>
  <c r="R51" i="9"/>
  <c r="R52" i="9"/>
  <c r="R53" i="9"/>
  <c r="R54" i="9"/>
  <c r="R55" i="9"/>
  <c r="R56" i="9"/>
  <c r="R57" i="9"/>
  <c r="S16" i="16"/>
  <c r="S17" i="16"/>
  <c r="S18" i="16"/>
  <c r="X174" i="14"/>
  <c r="X192" i="14"/>
  <c r="S3" i="9"/>
  <c r="U3" i="12"/>
  <c r="U22" i="12"/>
  <c r="U18" i="12"/>
  <c r="U19" i="12"/>
  <c r="U20" i="12"/>
  <c r="U21" i="12"/>
  <c r="S8" i="9"/>
  <c r="U8" i="12"/>
  <c r="U23" i="12"/>
  <c r="S9" i="9"/>
  <c r="U9" i="12"/>
  <c r="U24" i="12"/>
  <c r="S13" i="9"/>
  <c r="U11" i="12"/>
  <c r="S14" i="9"/>
  <c r="U12" i="12"/>
  <c r="U27" i="12"/>
  <c r="S15" i="9"/>
  <c r="U13" i="12"/>
  <c r="S16" i="9"/>
  <c r="U14" i="12"/>
  <c r="U29" i="12"/>
  <c r="S17" i="9"/>
  <c r="U15" i="12"/>
  <c r="U30" i="12"/>
  <c r="S46" i="9"/>
  <c r="S51" i="9"/>
  <c r="S52" i="9"/>
  <c r="S53" i="9"/>
  <c r="S54" i="9"/>
  <c r="S55" i="9"/>
  <c r="S56" i="9"/>
  <c r="S57" i="9"/>
  <c r="T16" i="16"/>
  <c r="T17" i="16"/>
  <c r="T18" i="16"/>
  <c r="Y174" i="14"/>
  <c r="Y192" i="14"/>
  <c r="T3" i="9"/>
  <c r="V3" i="12"/>
  <c r="V21" i="12"/>
  <c r="V18" i="12"/>
  <c r="V19" i="12"/>
  <c r="V20" i="12"/>
  <c r="T8" i="9"/>
  <c r="V8" i="12"/>
  <c r="V23" i="12"/>
  <c r="T9" i="9"/>
  <c r="V9" i="12"/>
  <c r="V24" i="12"/>
  <c r="T13" i="9"/>
  <c r="V11" i="12"/>
  <c r="V26" i="12"/>
  <c r="T14" i="9"/>
  <c r="V12" i="12"/>
  <c r="V27" i="12"/>
  <c r="T15" i="9"/>
  <c r="V13" i="12"/>
  <c r="T16" i="9"/>
  <c r="V14" i="12"/>
  <c r="V29" i="12"/>
  <c r="T17" i="9"/>
  <c r="V15" i="12"/>
  <c r="V30" i="12"/>
  <c r="T46" i="9"/>
  <c r="T51" i="9"/>
  <c r="T52" i="9"/>
  <c r="T53" i="9"/>
  <c r="T54" i="9"/>
  <c r="T55" i="9"/>
  <c r="T56" i="9"/>
  <c r="T57" i="9"/>
  <c r="U16" i="16"/>
  <c r="U17" i="16"/>
  <c r="U18" i="16"/>
  <c r="Z174" i="14"/>
  <c r="Z192" i="14"/>
  <c r="U3" i="9"/>
  <c r="W3" i="12"/>
  <c r="W19" i="12"/>
  <c r="W18" i="12"/>
  <c r="U8" i="9"/>
  <c r="W8" i="12"/>
  <c r="W23" i="12"/>
  <c r="U9" i="9"/>
  <c r="W9" i="12"/>
  <c r="U13" i="9"/>
  <c r="W11" i="12"/>
  <c r="U14" i="9"/>
  <c r="W12" i="12"/>
  <c r="U15" i="9"/>
  <c r="W13" i="12"/>
  <c r="U16" i="9"/>
  <c r="W14" i="12"/>
  <c r="W29" i="12"/>
  <c r="U17" i="9"/>
  <c r="W15" i="12"/>
  <c r="U46" i="9"/>
  <c r="U51" i="9"/>
  <c r="U52" i="9"/>
  <c r="U53" i="9"/>
  <c r="U54" i="9"/>
  <c r="U55" i="9"/>
  <c r="U56" i="9"/>
  <c r="U57" i="9"/>
  <c r="Z55" i="14"/>
  <c r="V16" i="16"/>
  <c r="V17" i="16"/>
  <c r="V18" i="16"/>
  <c r="AA174" i="14"/>
  <c r="AA192" i="14"/>
  <c r="V3" i="9"/>
  <c r="X3" i="12"/>
  <c r="V8" i="9"/>
  <c r="X8" i="12"/>
  <c r="V9" i="9"/>
  <c r="X9" i="12"/>
  <c r="V13" i="9"/>
  <c r="X11" i="12"/>
  <c r="V14" i="9"/>
  <c r="X12" i="12"/>
  <c r="V15" i="9"/>
  <c r="X13" i="12"/>
  <c r="V16" i="9"/>
  <c r="X14" i="12"/>
  <c r="V17" i="9"/>
  <c r="X15" i="12"/>
  <c r="V46" i="9"/>
  <c r="V51" i="9"/>
  <c r="V52" i="9"/>
  <c r="V53" i="9"/>
  <c r="V54" i="9"/>
  <c r="V55" i="9"/>
  <c r="V56" i="9"/>
  <c r="V57" i="9"/>
  <c r="H142" i="14"/>
  <c r="H152" i="14" s="1"/>
  <c r="H154" i="14" s="1"/>
  <c r="C7" i="16"/>
  <c r="C28" i="16" s="1"/>
  <c r="B7" i="16"/>
  <c r="B28" i="16" s="1"/>
  <c r="E21" i="20"/>
  <c r="E22" i="20"/>
  <c r="E23" i="20"/>
  <c r="E25" i="20"/>
  <c r="E33" i="20"/>
  <c r="F21" i="20"/>
  <c r="F22" i="20"/>
  <c r="F23" i="20"/>
  <c r="F25" i="20"/>
  <c r="F33" i="20"/>
  <c r="G18" i="20"/>
  <c r="G19" i="20"/>
  <c r="G21" i="20"/>
  <c r="G22" i="20"/>
  <c r="G23" i="20"/>
  <c r="G25" i="20"/>
  <c r="G11" i="20"/>
  <c r="G26" i="20"/>
  <c r="G12" i="20"/>
  <c r="G27" i="20"/>
  <c r="G13" i="20"/>
  <c r="G28" i="20"/>
  <c r="G14" i="20"/>
  <c r="G29" i="20"/>
  <c r="G15" i="20"/>
  <c r="G30" i="20"/>
  <c r="G31" i="20"/>
  <c r="G33" i="20"/>
  <c r="E71" i="9"/>
  <c r="E72" i="9"/>
  <c r="E73" i="9"/>
  <c r="E74" i="9"/>
  <c r="E75" i="9"/>
  <c r="AE5" i="20"/>
  <c r="H18" i="20"/>
  <c r="H19" i="20"/>
  <c r="H20" i="20"/>
  <c r="H21" i="20"/>
  <c r="H22" i="20"/>
  <c r="H23" i="20"/>
  <c r="H25" i="20"/>
  <c r="H11" i="20"/>
  <c r="H26" i="20"/>
  <c r="H12" i="20"/>
  <c r="H27" i="20"/>
  <c r="H13" i="20"/>
  <c r="H28" i="20"/>
  <c r="H14" i="20"/>
  <c r="H29" i="20"/>
  <c r="H15" i="20"/>
  <c r="H30" i="20"/>
  <c r="H31" i="20"/>
  <c r="H33" i="20"/>
  <c r="F71" i="9"/>
  <c r="F72" i="9"/>
  <c r="F73" i="9"/>
  <c r="F74" i="9"/>
  <c r="F75" i="9"/>
  <c r="G21" i="16"/>
  <c r="G22" i="16"/>
  <c r="G23" i="16"/>
  <c r="L179" i="14"/>
  <c r="L180" i="14" s="1"/>
  <c r="L197" i="14"/>
  <c r="L198" i="14" s="1"/>
  <c r="L199" i="14" s="1"/>
  <c r="AF5" i="20"/>
  <c r="I18" i="20"/>
  <c r="I19" i="20"/>
  <c r="I20" i="20"/>
  <c r="I21" i="20"/>
  <c r="I22" i="20"/>
  <c r="I23" i="20"/>
  <c r="I25" i="20"/>
  <c r="I11" i="20"/>
  <c r="I26" i="20"/>
  <c r="I12" i="20"/>
  <c r="I27" i="20"/>
  <c r="I13" i="20"/>
  <c r="I28" i="20"/>
  <c r="I14" i="20"/>
  <c r="I29" i="20"/>
  <c r="I15" i="20"/>
  <c r="I30" i="20"/>
  <c r="I31" i="20"/>
  <c r="I33" i="20"/>
  <c r="G71" i="9"/>
  <c r="G72" i="9"/>
  <c r="G73" i="9"/>
  <c r="G74" i="9"/>
  <c r="G75" i="9"/>
  <c r="H21" i="16"/>
  <c r="H22" i="16"/>
  <c r="H23" i="16"/>
  <c r="M179" i="14"/>
  <c r="M180" i="14" s="1"/>
  <c r="M197" i="14"/>
  <c r="AG5" i="20"/>
  <c r="J18" i="20"/>
  <c r="J19" i="20"/>
  <c r="J20" i="20"/>
  <c r="J21" i="20"/>
  <c r="J22" i="20"/>
  <c r="J23" i="20"/>
  <c r="J25" i="20"/>
  <c r="J11" i="20"/>
  <c r="J26" i="20"/>
  <c r="J12" i="20"/>
  <c r="J27" i="20"/>
  <c r="J13" i="20"/>
  <c r="J28" i="20"/>
  <c r="J14" i="20"/>
  <c r="J29" i="20"/>
  <c r="J15" i="20"/>
  <c r="J30" i="20"/>
  <c r="J31" i="20"/>
  <c r="J33" i="20"/>
  <c r="H71" i="9"/>
  <c r="H72" i="9"/>
  <c r="H73" i="9"/>
  <c r="H74" i="9"/>
  <c r="H75" i="9"/>
  <c r="I21" i="16"/>
  <c r="I22" i="16"/>
  <c r="I23" i="16"/>
  <c r="N179" i="14"/>
  <c r="N197" i="14"/>
  <c r="AH5" i="20"/>
  <c r="K18" i="20"/>
  <c r="K19" i="20"/>
  <c r="K20" i="20"/>
  <c r="K6" i="20"/>
  <c r="K21" i="20"/>
  <c r="K22" i="20"/>
  <c r="K23" i="20"/>
  <c r="K25" i="20"/>
  <c r="K11" i="20"/>
  <c r="K26" i="20"/>
  <c r="K12" i="20"/>
  <c r="K27" i="20"/>
  <c r="K13" i="20"/>
  <c r="K28" i="20"/>
  <c r="K14" i="20"/>
  <c r="K29" i="20"/>
  <c r="K15" i="20"/>
  <c r="K30" i="20"/>
  <c r="K31" i="20"/>
  <c r="K33" i="20"/>
  <c r="I67" i="9"/>
  <c r="I71" i="9"/>
  <c r="I72" i="9"/>
  <c r="I73" i="9"/>
  <c r="I74" i="9"/>
  <c r="I75" i="9"/>
  <c r="J21" i="16"/>
  <c r="J22" i="16"/>
  <c r="J23" i="16"/>
  <c r="O179" i="14"/>
  <c r="O197" i="14"/>
  <c r="AI5" i="20"/>
  <c r="L18" i="20"/>
  <c r="L19" i="20"/>
  <c r="L20" i="20"/>
  <c r="L6" i="20"/>
  <c r="L21" i="20"/>
  <c r="L22" i="20"/>
  <c r="L23" i="20"/>
  <c r="L25" i="20"/>
  <c r="L11" i="20"/>
  <c r="L26" i="20"/>
  <c r="L12" i="20"/>
  <c r="L27" i="20"/>
  <c r="L13" i="20"/>
  <c r="L28" i="20"/>
  <c r="L14" i="20"/>
  <c r="L29" i="20"/>
  <c r="L15" i="20"/>
  <c r="L30" i="20"/>
  <c r="L31" i="20"/>
  <c r="L33" i="20"/>
  <c r="J67" i="9"/>
  <c r="J71" i="9"/>
  <c r="J72" i="9"/>
  <c r="J73" i="9"/>
  <c r="J74" i="9"/>
  <c r="J75" i="9"/>
  <c r="P144" i="14"/>
  <c r="P146" i="14"/>
  <c r="K21" i="16"/>
  <c r="K22" i="16"/>
  <c r="K23" i="16"/>
  <c r="P179" i="14"/>
  <c r="P197" i="14"/>
  <c r="AJ5" i="20"/>
  <c r="M18" i="20"/>
  <c r="M19" i="20"/>
  <c r="M20" i="20"/>
  <c r="M6" i="20"/>
  <c r="M21" i="20"/>
  <c r="M22" i="20"/>
  <c r="M8" i="20"/>
  <c r="M23" i="20"/>
  <c r="M25" i="20"/>
  <c r="M11" i="20"/>
  <c r="M26" i="20"/>
  <c r="M12" i="20"/>
  <c r="M27" i="20"/>
  <c r="M13" i="20"/>
  <c r="M28" i="20"/>
  <c r="M14" i="20"/>
  <c r="M29" i="20"/>
  <c r="M15" i="20"/>
  <c r="M30" i="20"/>
  <c r="M31" i="20"/>
  <c r="M33" i="20"/>
  <c r="K67" i="9"/>
  <c r="K69" i="9"/>
  <c r="K71" i="9"/>
  <c r="K72" i="9"/>
  <c r="K73" i="9"/>
  <c r="K74" i="9"/>
  <c r="K75" i="9"/>
  <c r="L21" i="16"/>
  <c r="L22" i="16"/>
  <c r="L23" i="16"/>
  <c r="Q179" i="14"/>
  <c r="Q197" i="14"/>
  <c r="AK5" i="20"/>
  <c r="N18" i="20"/>
  <c r="N19" i="20"/>
  <c r="N20" i="20"/>
  <c r="N6" i="20"/>
  <c r="N21" i="20"/>
  <c r="N22" i="20"/>
  <c r="N8" i="20"/>
  <c r="N23" i="20"/>
  <c r="N25" i="20"/>
  <c r="N11" i="20"/>
  <c r="N26" i="20"/>
  <c r="N12" i="20"/>
  <c r="N27" i="20"/>
  <c r="N13" i="20"/>
  <c r="N28" i="20"/>
  <c r="N14" i="20"/>
  <c r="N29" i="20"/>
  <c r="N15" i="20"/>
  <c r="N30" i="20"/>
  <c r="N31" i="20"/>
  <c r="N33" i="20"/>
  <c r="L67" i="9"/>
  <c r="L69" i="9"/>
  <c r="L71" i="9"/>
  <c r="L72" i="9"/>
  <c r="L73" i="9"/>
  <c r="L74" i="9"/>
  <c r="L75" i="9"/>
  <c r="Q75" i="14"/>
  <c r="M21" i="16"/>
  <c r="M22" i="16"/>
  <c r="M23" i="16"/>
  <c r="R179" i="14"/>
  <c r="R197" i="14"/>
  <c r="AL5" i="20"/>
  <c r="O18" i="20"/>
  <c r="O19" i="20"/>
  <c r="O20" i="20"/>
  <c r="O6" i="20"/>
  <c r="O21" i="20"/>
  <c r="O22" i="20"/>
  <c r="O8" i="20"/>
  <c r="O23" i="20"/>
  <c r="O25" i="20"/>
  <c r="O11" i="20"/>
  <c r="O26" i="20"/>
  <c r="O12" i="20"/>
  <c r="O27" i="20"/>
  <c r="O13" i="20"/>
  <c r="O28" i="20"/>
  <c r="O14" i="20"/>
  <c r="O29" i="20"/>
  <c r="O15" i="20"/>
  <c r="O30" i="20"/>
  <c r="O31" i="20"/>
  <c r="O33" i="20"/>
  <c r="M69" i="9"/>
  <c r="M71" i="9"/>
  <c r="M72" i="9"/>
  <c r="M73" i="9"/>
  <c r="M74" i="9"/>
  <c r="M75" i="9"/>
  <c r="N21" i="16"/>
  <c r="N22" i="16"/>
  <c r="N23" i="16"/>
  <c r="S179" i="14"/>
  <c r="S197" i="14"/>
  <c r="P3" i="20"/>
  <c r="AM5" i="20"/>
  <c r="P18" i="20"/>
  <c r="P19" i="20"/>
  <c r="P20" i="20"/>
  <c r="P6" i="20"/>
  <c r="P21" i="20"/>
  <c r="P22" i="20"/>
  <c r="P8" i="20"/>
  <c r="P23" i="20"/>
  <c r="P25" i="20"/>
  <c r="P11" i="20"/>
  <c r="P26" i="20"/>
  <c r="P12" i="20"/>
  <c r="P27" i="20"/>
  <c r="P13" i="20"/>
  <c r="P28" i="20"/>
  <c r="P14" i="20"/>
  <c r="P29" i="20"/>
  <c r="P15" i="20"/>
  <c r="P30" i="20"/>
  <c r="P31" i="20"/>
  <c r="P33" i="20"/>
  <c r="N64" i="9"/>
  <c r="N69" i="9"/>
  <c r="N70" i="9"/>
  <c r="N71" i="9"/>
  <c r="N72" i="9"/>
  <c r="N73" i="9"/>
  <c r="N74" i="9"/>
  <c r="N75" i="9"/>
  <c r="Q156" i="14"/>
  <c r="T145" i="14" s="1"/>
  <c r="T141" i="14"/>
  <c r="T143" i="14"/>
  <c r="T147" i="14"/>
  <c r="O21" i="16"/>
  <c r="O22" i="16"/>
  <c r="O23" i="16"/>
  <c r="T179" i="14"/>
  <c r="T197" i="14"/>
  <c r="Q3" i="20"/>
  <c r="AN5" i="20"/>
  <c r="Q18" i="20"/>
  <c r="Q19" i="20"/>
  <c r="Q20" i="20"/>
  <c r="Q21" i="20"/>
  <c r="Q22" i="20"/>
  <c r="Q8" i="20"/>
  <c r="Q23" i="20"/>
  <c r="Q25" i="20"/>
  <c r="Q11" i="20"/>
  <c r="Q26" i="20"/>
  <c r="Q12" i="20"/>
  <c r="Q27" i="20"/>
  <c r="Q13" i="20"/>
  <c r="Q28" i="20"/>
  <c r="Q14" i="20"/>
  <c r="Q29" i="20"/>
  <c r="Q15" i="20"/>
  <c r="Q30" i="20"/>
  <c r="Q31" i="20"/>
  <c r="Q33" i="20"/>
  <c r="O64" i="9"/>
  <c r="O69" i="9"/>
  <c r="O70" i="9"/>
  <c r="O71" i="9"/>
  <c r="O72" i="9"/>
  <c r="O73" i="9"/>
  <c r="O74" i="9"/>
  <c r="O75" i="9"/>
  <c r="R156" i="14"/>
  <c r="P21" i="16"/>
  <c r="P22" i="16"/>
  <c r="P23" i="16"/>
  <c r="U179" i="14"/>
  <c r="U197" i="14"/>
  <c r="R3" i="20"/>
  <c r="AO5" i="20"/>
  <c r="R18" i="20"/>
  <c r="R19" i="20"/>
  <c r="R20" i="20"/>
  <c r="R21" i="20"/>
  <c r="R22" i="20"/>
  <c r="R8" i="20"/>
  <c r="R23" i="20"/>
  <c r="R25" i="20"/>
  <c r="R11" i="20"/>
  <c r="R26" i="20"/>
  <c r="R12" i="20"/>
  <c r="R27" i="20"/>
  <c r="R13" i="20"/>
  <c r="R28" i="20"/>
  <c r="R14" i="20"/>
  <c r="R29" i="20"/>
  <c r="R15" i="20"/>
  <c r="R30" i="20"/>
  <c r="R31" i="20"/>
  <c r="R33" i="20"/>
  <c r="P64" i="9"/>
  <c r="P69" i="9"/>
  <c r="P70" i="9"/>
  <c r="P71" i="9"/>
  <c r="P72" i="9"/>
  <c r="P73" i="9"/>
  <c r="P74" i="9"/>
  <c r="P75" i="9"/>
  <c r="Q21" i="16"/>
  <c r="Q22" i="16"/>
  <c r="Q23" i="16"/>
  <c r="V179" i="14"/>
  <c r="V197" i="14"/>
  <c r="S3" i="20"/>
  <c r="AP5" i="20"/>
  <c r="S18" i="20"/>
  <c r="S19" i="20"/>
  <c r="S20" i="20"/>
  <c r="S21" i="20"/>
  <c r="S22" i="20"/>
  <c r="S8" i="20"/>
  <c r="S23" i="20"/>
  <c r="S25" i="20"/>
  <c r="S11" i="20"/>
  <c r="S26" i="20"/>
  <c r="S12" i="20"/>
  <c r="S27" i="20"/>
  <c r="S13" i="20"/>
  <c r="S28" i="20"/>
  <c r="S14" i="20"/>
  <c r="S29" i="20"/>
  <c r="S15" i="20"/>
  <c r="S30" i="20"/>
  <c r="S31" i="20"/>
  <c r="S33" i="20"/>
  <c r="Q64" i="9"/>
  <c r="Q69" i="9"/>
  <c r="Q70" i="9"/>
  <c r="Q71" i="9"/>
  <c r="Q72" i="9"/>
  <c r="Q73" i="9"/>
  <c r="Q74" i="9"/>
  <c r="Q75" i="9"/>
  <c r="R21" i="16"/>
  <c r="R22" i="16"/>
  <c r="R23" i="16"/>
  <c r="W179" i="14"/>
  <c r="W197" i="14"/>
  <c r="T3" i="20"/>
  <c r="AQ5" i="20"/>
  <c r="T18" i="20"/>
  <c r="T19" i="20"/>
  <c r="T20" i="20"/>
  <c r="T21" i="20"/>
  <c r="T22" i="20"/>
  <c r="T8" i="20"/>
  <c r="T23" i="20"/>
  <c r="T25" i="20"/>
  <c r="T11" i="20"/>
  <c r="T26" i="20"/>
  <c r="T12" i="20"/>
  <c r="T27" i="20"/>
  <c r="T13" i="20"/>
  <c r="T28" i="20"/>
  <c r="T14" i="20"/>
  <c r="T29" i="20"/>
  <c r="T15" i="20"/>
  <c r="T30" i="20"/>
  <c r="T31" i="20"/>
  <c r="T33" i="20"/>
  <c r="R64" i="9"/>
  <c r="R69" i="9"/>
  <c r="R70" i="9"/>
  <c r="R71" i="9"/>
  <c r="R72" i="9"/>
  <c r="R73" i="9"/>
  <c r="R74" i="9"/>
  <c r="R75" i="9"/>
  <c r="S21" i="16"/>
  <c r="S22" i="16"/>
  <c r="S23" i="16"/>
  <c r="X179" i="14"/>
  <c r="X197" i="14"/>
  <c r="U3" i="20"/>
  <c r="AR5" i="20"/>
  <c r="U18" i="20"/>
  <c r="U19" i="20"/>
  <c r="U20" i="20"/>
  <c r="U21" i="20"/>
  <c r="U22" i="20"/>
  <c r="U8" i="20"/>
  <c r="U23" i="20"/>
  <c r="U25" i="20"/>
  <c r="U11" i="20"/>
  <c r="U26" i="20"/>
  <c r="U12" i="20"/>
  <c r="U27" i="20"/>
  <c r="U13" i="20"/>
  <c r="U28" i="20"/>
  <c r="U14" i="20"/>
  <c r="U29" i="20"/>
  <c r="U15" i="20"/>
  <c r="U30" i="20"/>
  <c r="U31" i="20"/>
  <c r="U33" i="20"/>
  <c r="S64" i="9"/>
  <c r="S69" i="9"/>
  <c r="S70" i="9"/>
  <c r="S71" i="9"/>
  <c r="S72" i="9"/>
  <c r="S73" i="9"/>
  <c r="S74" i="9"/>
  <c r="S75" i="9"/>
  <c r="T21" i="16"/>
  <c r="T22" i="16"/>
  <c r="T23" i="16"/>
  <c r="Y179" i="14"/>
  <c r="Y197" i="14"/>
  <c r="V3" i="20"/>
  <c r="AS5" i="20"/>
  <c r="V18" i="20"/>
  <c r="V19" i="20"/>
  <c r="V20" i="20"/>
  <c r="V21" i="20"/>
  <c r="V22" i="20"/>
  <c r="V8" i="20"/>
  <c r="V23" i="20"/>
  <c r="V25" i="20"/>
  <c r="V11" i="20"/>
  <c r="V26" i="20"/>
  <c r="V12" i="20"/>
  <c r="V27" i="20"/>
  <c r="V13" i="20"/>
  <c r="V28" i="20"/>
  <c r="V14" i="20"/>
  <c r="V29" i="20"/>
  <c r="V15" i="20"/>
  <c r="V30" i="20"/>
  <c r="V31" i="20"/>
  <c r="V33" i="20"/>
  <c r="T64" i="9"/>
  <c r="T69" i="9"/>
  <c r="T70" i="9"/>
  <c r="T71" i="9"/>
  <c r="T72" i="9"/>
  <c r="T73" i="9"/>
  <c r="T74" i="9"/>
  <c r="T75" i="9"/>
  <c r="U21" i="16"/>
  <c r="U22" i="16"/>
  <c r="U23" i="16"/>
  <c r="Z179" i="14"/>
  <c r="Z197" i="14"/>
  <c r="W3" i="20"/>
  <c r="AT5" i="20"/>
  <c r="W18" i="20"/>
  <c r="W19" i="20"/>
  <c r="W20" i="20"/>
  <c r="W21" i="20"/>
  <c r="W22" i="20"/>
  <c r="W8" i="20"/>
  <c r="W23" i="20"/>
  <c r="W25" i="20"/>
  <c r="W11" i="20"/>
  <c r="W26" i="20"/>
  <c r="W12" i="20"/>
  <c r="W27" i="20"/>
  <c r="W13" i="20"/>
  <c r="W28" i="20"/>
  <c r="W14" i="20"/>
  <c r="W29" i="20"/>
  <c r="W15" i="20"/>
  <c r="W30" i="20"/>
  <c r="W31" i="20"/>
  <c r="W33" i="20"/>
  <c r="U64" i="9"/>
  <c r="U69" i="9"/>
  <c r="U70" i="9"/>
  <c r="U71" i="9"/>
  <c r="U72" i="9"/>
  <c r="U73" i="9"/>
  <c r="U74" i="9"/>
  <c r="U75" i="9"/>
  <c r="V21" i="16"/>
  <c r="V22" i="16"/>
  <c r="V23" i="16"/>
  <c r="AA179" i="14"/>
  <c r="AA197" i="14"/>
  <c r="X3" i="20"/>
  <c r="AU5" i="20"/>
  <c r="X18" i="20"/>
  <c r="X19" i="20"/>
  <c r="X20" i="20"/>
  <c r="X21" i="20"/>
  <c r="X22" i="20"/>
  <c r="X8" i="20"/>
  <c r="X23" i="20"/>
  <c r="X25" i="20"/>
  <c r="X11" i="20"/>
  <c r="X26" i="20"/>
  <c r="X12" i="20"/>
  <c r="X27" i="20"/>
  <c r="X13" i="20"/>
  <c r="X28" i="20"/>
  <c r="X14" i="20"/>
  <c r="X29" i="20"/>
  <c r="X15" i="20"/>
  <c r="X30" i="20"/>
  <c r="X31" i="20"/>
  <c r="X33" i="20"/>
  <c r="V64" i="9"/>
  <c r="V69" i="9"/>
  <c r="V70" i="9"/>
  <c r="V71" i="9"/>
  <c r="V72" i="9"/>
  <c r="V73" i="9"/>
  <c r="V74" i="9"/>
  <c r="V75" i="9"/>
  <c r="AA43" i="19"/>
  <c r="H104" i="14"/>
  <c r="H106" i="14" s="1"/>
  <c r="C37" i="9" s="1"/>
  <c r="C5" i="16"/>
  <c r="C26" i="16" s="1"/>
  <c r="B5" i="16"/>
  <c r="B26" i="16"/>
  <c r="G11" i="19"/>
  <c r="G26" i="19"/>
  <c r="G12" i="19"/>
  <c r="G27" i="19"/>
  <c r="G13" i="19"/>
  <c r="G28" i="19"/>
  <c r="G14" i="19"/>
  <c r="G29" i="19"/>
  <c r="G15" i="19"/>
  <c r="G30" i="19"/>
  <c r="G31" i="19"/>
  <c r="E32" i="9"/>
  <c r="E33" i="9"/>
  <c r="E34" i="9"/>
  <c r="E35" i="9"/>
  <c r="E36" i="9"/>
  <c r="F11" i="16"/>
  <c r="F12" i="16"/>
  <c r="F13" i="16"/>
  <c r="K171" i="14"/>
  <c r="K172" i="14" s="1"/>
  <c r="K189" i="14"/>
  <c r="K190" i="14" s="1"/>
  <c r="AE3" i="19"/>
  <c r="H18" i="19"/>
  <c r="H19" i="19"/>
  <c r="H20" i="19"/>
  <c r="H21" i="19"/>
  <c r="H22" i="19"/>
  <c r="H23" i="19"/>
  <c r="H24" i="19"/>
  <c r="H25" i="19"/>
  <c r="H11" i="19"/>
  <c r="H26" i="19"/>
  <c r="H12" i="19"/>
  <c r="H27" i="19"/>
  <c r="H13" i="19"/>
  <c r="H28" i="19"/>
  <c r="H14" i="19"/>
  <c r="H29" i="19"/>
  <c r="H15" i="19"/>
  <c r="H30" i="19"/>
  <c r="H31" i="19"/>
  <c r="F32" i="9"/>
  <c r="F33" i="9"/>
  <c r="F34" i="9"/>
  <c r="F35" i="9"/>
  <c r="F36" i="9"/>
  <c r="G11" i="16"/>
  <c r="G12" i="16"/>
  <c r="G13" i="16"/>
  <c r="L171" i="14"/>
  <c r="L189" i="14"/>
  <c r="AF3" i="19"/>
  <c r="I18" i="19"/>
  <c r="I19" i="19"/>
  <c r="I20" i="19"/>
  <c r="I21" i="19"/>
  <c r="I22" i="19"/>
  <c r="I23" i="19"/>
  <c r="I24" i="19"/>
  <c r="I25" i="19"/>
  <c r="I11" i="19"/>
  <c r="I26" i="19"/>
  <c r="I12" i="19"/>
  <c r="I27" i="19"/>
  <c r="I13" i="19"/>
  <c r="I28" i="19"/>
  <c r="I14" i="19"/>
  <c r="I29" i="19"/>
  <c r="I15" i="19"/>
  <c r="I30" i="19"/>
  <c r="I31" i="19"/>
  <c r="G32" i="9"/>
  <c r="G33" i="9"/>
  <c r="G34" i="9"/>
  <c r="G35" i="9"/>
  <c r="G36" i="9"/>
  <c r="H11" i="16"/>
  <c r="H12" i="16"/>
  <c r="H13" i="16"/>
  <c r="M171" i="14"/>
  <c r="M189" i="14"/>
  <c r="AG3" i="19"/>
  <c r="J18" i="19"/>
  <c r="J19" i="19"/>
  <c r="J20" i="19"/>
  <c r="J21" i="19"/>
  <c r="J22" i="19"/>
  <c r="J23" i="19"/>
  <c r="J24" i="19"/>
  <c r="J25" i="19"/>
  <c r="J11" i="19"/>
  <c r="J26" i="19"/>
  <c r="J12" i="19"/>
  <c r="J27" i="19"/>
  <c r="J13" i="19"/>
  <c r="J28" i="19"/>
  <c r="J14" i="19"/>
  <c r="J29" i="19"/>
  <c r="J15" i="19"/>
  <c r="J30" i="19"/>
  <c r="J31" i="19"/>
  <c r="H10" i="9"/>
  <c r="H31" i="9"/>
  <c r="H32" i="9"/>
  <c r="H33" i="9"/>
  <c r="H34" i="9"/>
  <c r="H35" i="9"/>
  <c r="H36" i="9"/>
  <c r="I11" i="16"/>
  <c r="I12" i="16"/>
  <c r="I13" i="16"/>
  <c r="N171" i="14"/>
  <c r="N189" i="14"/>
  <c r="AH3" i="19"/>
  <c r="K18" i="19"/>
  <c r="K19" i="19"/>
  <c r="K20" i="19"/>
  <c r="K6" i="19"/>
  <c r="K21" i="19"/>
  <c r="K22" i="19"/>
  <c r="K23" i="19"/>
  <c r="K24" i="19"/>
  <c r="K25" i="19"/>
  <c r="K11" i="19"/>
  <c r="K26" i="19"/>
  <c r="K12" i="19"/>
  <c r="K27" i="19"/>
  <c r="K13" i="19"/>
  <c r="K28" i="19"/>
  <c r="K14" i="19"/>
  <c r="K29" i="19"/>
  <c r="K15" i="19"/>
  <c r="K30" i="19"/>
  <c r="K31" i="19"/>
  <c r="I27" i="9"/>
  <c r="I10" i="9"/>
  <c r="I31" i="9"/>
  <c r="I32" i="9"/>
  <c r="I33" i="9"/>
  <c r="I34" i="9"/>
  <c r="I35" i="9"/>
  <c r="I36" i="9"/>
  <c r="J11" i="16"/>
  <c r="J12" i="16"/>
  <c r="J13" i="16"/>
  <c r="O171" i="14"/>
  <c r="O189" i="14"/>
  <c r="AI3" i="19"/>
  <c r="L18" i="19"/>
  <c r="L19" i="19"/>
  <c r="L20" i="19"/>
  <c r="L6" i="19"/>
  <c r="L21" i="19"/>
  <c r="L22" i="19"/>
  <c r="L23" i="19"/>
  <c r="L24" i="19"/>
  <c r="L25" i="19"/>
  <c r="L11" i="19"/>
  <c r="L26" i="19"/>
  <c r="L12" i="19"/>
  <c r="L27" i="19"/>
  <c r="L13" i="19"/>
  <c r="L28" i="19"/>
  <c r="L14" i="19"/>
  <c r="L29" i="19"/>
  <c r="L15" i="19"/>
  <c r="L30" i="19"/>
  <c r="L31" i="19"/>
  <c r="J27" i="9"/>
  <c r="J10" i="9"/>
  <c r="J31" i="9"/>
  <c r="J32" i="9"/>
  <c r="J33" i="9"/>
  <c r="J34" i="9"/>
  <c r="J35" i="9"/>
  <c r="J36" i="9"/>
  <c r="K11" i="16"/>
  <c r="K12" i="16"/>
  <c r="K13" i="16"/>
  <c r="P171" i="14"/>
  <c r="P189" i="14"/>
  <c r="AJ3" i="19"/>
  <c r="M18" i="19"/>
  <c r="M19" i="19"/>
  <c r="M20" i="19"/>
  <c r="M6" i="19"/>
  <c r="M21" i="19"/>
  <c r="M22" i="19"/>
  <c r="M8" i="19"/>
  <c r="M23" i="19"/>
  <c r="M24" i="19"/>
  <c r="M25" i="19"/>
  <c r="M11" i="19"/>
  <c r="M26" i="19"/>
  <c r="M12" i="19"/>
  <c r="M27" i="19"/>
  <c r="M13" i="19"/>
  <c r="M28" i="19"/>
  <c r="M14" i="19"/>
  <c r="M29" i="19"/>
  <c r="M15" i="19"/>
  <c r="M30" i="19"/>
  <c r="M31" i="19"/>
  <c r="K27" i="9"/>
  <c r="K29" i="9"/>
  <c r="K10" i="9"/>
  <c r="K31" i="9"/>
  <c r="K32" i="9"/>
  <c r="K33" i="9"/>
  <c r="K34" i="9"/>
  <c r="K35" i="9"/>
  <c r="K36" i="9"/>
  <c r="L11" i="16"/>
  <c r="L12" i="16"/>
  <c r="L13" i="16"/>
  <c r="Q171" i="14"/>
  <c r="Q189" i="14"/>
  <c r="AK3" i="19"/>
  <c r="N18" i="19"/>
  <c r="N19" i="19"/>
  <c r="N20" i="19"/>
  <c r="N6" i="19"/>
  <c r="N21" i="19"/>
  <c r="N22" i="19"/>
  <c r="N8" i="19"/>
  <c r="N23" i="19"/>
  <c r="N24" i="19"/>
  <c r="N25" i="19"/>
  <c r="N11" i="19"/>
  <c r="N26" i="19"/>
  <c r="N12" i="19"/>
  <c r="N27" i="19"/>
  <c r="N13" i="19"/>
  <c r="N28" i="19"/>
  <c r="N14" i="19"/>
  <c r="N29" i="19"/>
  <c r="N15" i="19"/>
  <c r="N30" i="19"/>
  <c r="N31" i="19"/>
  <c r="L27" i="9"/>
  <c r="L29" i="9"/>
  <c r="L10" i="9"/>
  <c r="L31" i="9"/>
  <c r="L32" i="9"/>
  <c r="L33" i="9"/>
  <c r="L34" i="9"/>
  <c r="L35" i="9"/>
  <c r="L36" i="9"/>
  <c r="Q73" i="14"/>
  <c r="R102" i="14" s="1"/>
  <c r="R104" i="14"/>
  <c r="P217" i="14" s="1"/>
  <c r="M11" i="16"/>
  <c r="M12" i="16"/>
  <c r="M13" i="16"/>
  <c r="R171" i="14"/>
  <c r="R189" i="14"/>
  <c r="Q77" i="14"/>
  <c r="M5" i="16" s="1"/>
  <c r="M26" i="16" s="1"/>
  <c r="AL3" i="19"/>
  <c r="O18" i="19"/>
  <c r="O19" i="19"/>
  <c r="O20" i="19"/>
  <c r="O21" i="19"/>
  <c r="O22" i="19"/>
  <c r="O8" i="19"/>
  <c r="O23" i="19"/>
  <c r="O24" i="19"/>
  <c r="O25" i="19"/>
  <c r="O11" i="19"/>
  <c r="O26" i="19"/>
  <c r="O12" i="19"/>
  <c r="O27" i="19"/>
  <c r="O13" i="19"/>
  <c r="O28" i="19"/>
  <c r="O14" i="19"/>
  <c r="O29" i="19"/>
  <c r="O15" i="19"/>
  <c r="O30" i="19"/>
  <c r="O31" i="19"/>
  <c r="M29" i="9"/>
  <c r="M10" i="9"/>
  <c r="M31" i="9"/>
  <c r="M32" i="9"/>
  <c r="M33" i="9"/>
  <c r="M34" i="9"/>
  <c r="M35" i="9"/>
  <c r="M36" i="9"/>
  <c r="N11" i="16"/>
  <c r="N12" i="16"/>
  <c r="N13" i="16"/>
  <c r="S171" i="14"/>
  <c r="S189" i="14"/>
  <c r="P3" i="19"/>
  <c r="AM3" i="19"/>
  <c r="P18" i="19"/>
  <c r="P19" i="19"/>
  <c r="P20" i="19"/>
  <c r="P21" i="19"/>
  <c r="P22" i="19"/>
  <c r="P8" i="19"/>
  <c r="P23" i="19"/>
  <c r="P9" i="19"/>
  <c r="P24" i="19"/>
  <c r="P25" i="19"/>
  <c r="P11" i="19"/>
  <c r="P26" i="19"/>
  <c r="P12" i="19"/>
  <c r="P27" i="19"/>
  <c r="P13" i="19"/>
  <c r="P28" i="19"/>
  <c r="P14" i="19"/>
  <c r="P29" i="19"/>
  <c r="P15" i="19"/>
  <c r="P30" i="19"/>
  <c r="P31" i="19"/>
  <c r="N24" i="9"/>
  <c r="N29" i="9"/>
  <c r="N30" i="9"/>
  <c r="N10" i="9"/>
  <c r="N31" i="9"/>
  <c r="N32" i="9"/>
  <c r="N33" i="9"/>
  <c r="N34" i="9"/>
  <c r="N35" i="9"/>
  <c r="N36" i="9"/>
  <c r="O11" i="16"/>
  <c r="O12" i="16"/>
  <c r="O13" i="16"/>
  <c r="T171" i="14"/>
  <c r="T189" i="14"/>
  <c r="Q3" i="19"/>
  <c r="AN3" i="19"/>
  <c r="Q18" i="19"/>
  <c r="Q19" i="19"/>
  <c r="Q20" i="19"/>
  <c r="Q21" i="19"/>
  <c r="Q22" i="19"/>
  <c r="Q8" i="19"/>
  <c r="Q23" i="19"/>
  <c r="Q9" i="19"/>
  <c r="Q24" i="19"/>
  <c r="Q25" i="19"/>
  <c r="Q11" i="19"/>
  <c r="Q26" i="19"/>
  <c r="Q12" i="19"/>
  <c r="Q27" i="19"/>
  <c r="Q13" i="19"/>
  <c r="Q28" i="19"/>
  <c r="Q14" i="19"/>
  <c r="Q29" i="19"/>
  <c r="Q15" i="19"/>
  <c r="Q30" i="19"/>
  <c r="Q31" i="19"/>
  <c r="O24" i="9"/>
  <c r="O29" i="9"/>
  <c r="O30" i="9"/>
  <c r="O10" i="9"/>
  <c r="O31" i="9"/>
  <c r="O32" i="9"/>
  <c r="O33" i="9"/>
  <c r="O34" i="9"/>
  <c r="O35" i="9"/>
  <c r="O36" i="9"/>
  <c r="P11" i="16"/>
  <c r="P12" i="16"/>
  <c r="P13" i="16"/>
  <c r="U171" i="14"/>
  <c r="U189" i="14"/>
  <c r="R3" i="19"/>
  <c r="AO3" i="19"/>
  <c r="R18" i="19"/>
  <c r="R19" i="19"/>
  <c r="R20" i="19"/>
  <c r="R21" i="19"/>
  <c r="R22" i="19"/>
  <c r="R8" i="19"/>
  <c r="R23" i="19"/>
  <c r="R9" i="19"/>
  <c r="R24" i="19"/>
  <c r="R25" i="19"/>
  <c r="R11" i="19"/>
  <c r="R26" i="19"/>
  <c r="R12" i="19"/>
  <c r="R27" i="19"/>
  <c r="R13" i="19"/>
  <c r="R28" i="19"/>
  <c r="R14" i="19"/>
  <c r="R29" i="19"/>
  <c r="R15" i="19"/>
  <c r="R30" i="19"/>
  <c r="R31" i="19"/>
  <c r="P24" i="9"/>
  <c r="P29" i="9"/>
  <c r="P30" i="9"/>
  <c r="P10" i="9"/>
  <c r="P31" i="9"/>
  <c r="P32" i="9"/>
  <c r="P33" i="9"/>
  <c r="P34" i="9"/>
  <c r="P35" i="9"/>
  <c r="P36" i="9"/>
  <c r="Q11" i="16"/>
  <c r="Q12" i="16"/>
  <c r="Q13" i="16"/>
  <c r="V171" i="14"/>
  <c r="V189" i="14"/>
  <c r="S3" i="19"/>
  <c r="AP3" i="19"/>
  <c r="S18" i="19"/>
  <c r="S19" i="19"/>
  <c r="S20" i="19"/>
  <c r="S21" i="19"/>
  <c r="S22" i="19"/>
  <c r="S8" i="19"/>
  <c r="S23" i="19"/>
  <c r="S9" i="19"/>
  <c r="S24" i="19"/>
  <c r="S25" i="19"/>
  <c r="S11" i="19"/>
  <c r="S26" i="19"/>
  <c r="S12" i="19"/>
  <c r="S27" i="19"/>
  <c r="S13" i="19"/>
  <c r="S28" i="19"/>
  <c r="S14" i="19"/>
  <c r="S29" i="19"/>
  <c r="S15" i="19"/>
  <c r="S30" i="19"/>
  <c r="S31" i="19"/>
  <c r="Q24" i="9"/>
  <c r="Q29" i="9"/>
  <c r="Q30" i="9"/>
  <c r="Q10" i="9"/>
  <c r="Q31" i="9"/>
  <c r="Q32" i="9"/>
  <c r="Q33" i="9"/>
  <c r="Q34" i="9"/>
  <c r="Q35" i="9"/>
  <c r="Q36" i="9"/>
  <c r="R11" i="16"/>
  <c r="R12" i="16"/>
  <c r="R13" i="16"/>
  <c r="W171" i="14"/>
  <c r="W189" i="14"/>
  <c r="T3" i="19"/>
  <c r="AQ3" i="19"/>
  <c r="T18" i="19"/>
  <c r="T19" i="19"/>
  <c r="T20" i="19"/>
  <c r="T21" i="19"/>
  <c r="T22" i="19"/>
  <c r="T8" i="19"/>
  <c r="T23" i="19"/>
  <c r="T9" i="19"/>
  <c r="T24" i="19"/>
  <c r="T25" i="19"/>
  <c r="T11" i="19"/>
  <c r="T26" i="19"/>
  <c r="T12" i="19"/>
  <c r="T27" i="19"/>
  <c r="T13" i="19"/>
  <c r="T28" i="19"/>
  <c r="T14" i="19"/>
  <c r="T29" i="19"/>
  <c r="T15" i="19"/>
  <c r="T30" i="19"/>
  <c r="T31" i="19"/>
  <c r="R24" i="9"/>
  <c r="R29" i="9"/>
  <c r="R30" i="9"/>
  <c r="R10" i="9"/>
  <c r="R31" i="9"/>
  <c r="R32" i="9"/>
  <c r="R33" i="9"/>
  <c r="R34" i="9"/>
  <c r="R35" i="9"/>
  <c r="R36" i="9"/>
  <c r="S11" i="16"/>
  <c r="S12" i="16"/>
  <c r="S13" i="16"/>
  <c r="X171" i="14"/>
  <c r="X189" i="14"/>
  <c r="U3" i="19"/>
  <c r="AR3" i="19"/>
  <c r="U18" i="19"/>
  <c r="U19" i="19"/>
  <c r="U20" i="19"/>
  <c r="U21" i="19"/>
  <c r="U22" i="19"/>
  <c r="U8" i="19"/>
  <c r="U23" i="19"/>
  <c r="U9" i="19"/>
  <c r="U24" i="19"/>
  <c r="U25" i="19"/>
  <c r="U11" i="19"/>
  <c r="U26" i="19"/>
  <c r="U12" i="19"/>
  <c r="U27" i="19"/>
  <c r="U13" i="19"/>
  <c r="U28" i="19"/>
  <c r="U14" i="19"/>
  <c r="U29" i="19"/>
  <c r="U15" i="19"/>
  <c r="U30" i="19"/>
  <c r="U31" i="19"/>
  <c r="S24" i="9"/>
  <c r="S29" i="9"/>
  <c r="S30" i="9"/>
  <c r="S10" i="9"/>
  <c r="S31" i="9"/>
  <c r="S32" i="9"/>
  <c r="S33" i="9"/>
  <c r="S34" i="9"/>
  <c r="S35" i="9"/>
  <c r="S36" i="9"/>
  <c r="T11" i="16"/>
  <c r="T12" i="16"/>
  <c r="T13" i="16"/>
  <c r="Y171" i="14"/>
  <c r="Y189" i="14"/>
  <c r="V3" i="19"/>
  <c r="AS3" i="19"/>
  <c r="V18" i="19"/>
  <c r="V19" i="19"/>
  <c r="V20" i="19"/>
  <c r="V21" i="19"/>
  <c r="V22" i="19"/>
  <c r="V8" i="19"/>
  <c r="V23" i="19"/>
  <c r="V9" i="19"/>
  <c r="V24" i="19"/>
  <c r="V25" i="19"/>
  <c r="V11" i="19"/>
  <c r="V26" i="19"/>
  <c r="V12" i="19"/>
  <c r="V27" i="19"/>
  <c r="V13" i="19"/>
  <c r="V28" i="19"/>
  <c r="V14" i="19"/>
  <c r="V29" i="19"/>
  <c r="V15" i="19"/>
  <c r="V30" i="19"/>
  <c r="V31" i="19"/>
  <c r="T24" i="9"/>
  <c r="T29" i="9"/>
  <c r="T30" i="9"/>
  <c r="T10" i="9"/>
  <c r="T31" i="9"/>
  <c r="T32" i="9"/>
  <c r="T33" i="9"/>
  <c r="T34" i="9"/>
  <c r="T35" i="9"/>
  <c r="T36" i="9"/>
  <c r="U11" i="16"/>
  <c r="U12" i="16"/>
  <c r="U13" i="16"/>
  <c r="Z171" i="14"/>
  <c r="Z189" i="14"/>
  <c r="W3" i="19"/>
  <c r="AT3" i="19"/>
  <c r="W18" i="19"/>
  <c r="W19" i="19"/>
  <c r="W20" i="19"/>
  <c r="W21" i="19"/>
  <c r="W22" i="19"/>
  <c r="W8" i="19"/>
  <c r="W23" i="19"/>
  <c r="W9" i="19"/>
  <c r="W24" i="19"/>
  <c r="W25" i="19"/>
  <c r="W11" i="19"/>
  <c r="W26" i="19"/>
  <c r="W12" i="19"/>
  <c r="W27" i="19"/>
  <c r="W13" i="19"/>
  <c r="W28" i="19"/>
  <c r="W14" i="19"/>
  <c r="W29" i="19"/>
  <c r="W15" i="19"/>
  <c r="W30" i="19"/>
  <c r="W31" i="19"/>
  <c r="U24" i="9"/>
  <c r="U29" i="9"/>
  <c r="U30" i="9"/>
  <c r="U10" i="9"/>
  <c r="U31" i="9"/>
  <c r="U32" i="9"/>
  <c r="U33" i="9"/>
  <c r="U34" i="9"/>
  <c r="U35" i="9"/>
  <c r="U36" i="9"/>
  <c r="V11" i="16"/>
  <c r="V12" i="16"/>
  <c r="V13" i="16"/>
  <c r="AA171" i="14"/>
  <c r="AA189" i="14"/>
  <c r="X3" i="19"/>
  <c r="AU3" i="19"/>
  <c r="X18" i="19"/>
  <c r="X19" i="19"/>
  <c r="X20" i="19"/>
  <c r="X21" i="19"/>
  <c r="X22" i="19"/>
  <c r="X8" i="19"/>
  <c r="X23" i="19"/>
  <c r="X9" i="19"/>
  <c r="X24" i="19"/>
  <c r="X25" i="19"/>
  <c r="X11" i="19"/>
  <c r="X26" i="19"/>
  <c r="X12" i="19"/>
  <c r="X27" i="19"/>
  <c r="X13" i="19"/>
  <c r="X28" i="19"/>
  <c r="X14" i="19"/>
  <c r="X29" i="19"/>
  <c r="X15" i="19"/>
  <c r="X30" i="19"/>
  <c r="X31" i="19"/>
  <c r="V24" i="9"/>
  <c r="V29" i="9"/>
  <c r="V30" i="9"/>
  <c r="V10" i="9"/>
  <c r="V31" i="9"/>
  <c r="V32" i="9"/>
  <c r="V33" i="9"/>
  <c r="V34" i="9"/>
  <c r="V35" i="9"/>
  <c r="V36" i="9"/>
  <c r="N43" i="19"/>
  <c r="K38" i="20"/>
  <c r="N38" i="20"/>
  <c r="X38" i="20"/>
  <c r="Q43" i="19"/>
  <c r="G142" i="14"/>
  <c r="G152" i="14"/>
  <c r="G154" i="14" s="1"/>
  <c r="I306" i="14"/>
  <c r="D22" i="12"/>
  <c r="D23" i="12"/>
  <c r="D24" i="12"/>
  <c r="D25" i="12"/>
  <c r="B152" i="18"/>
  <c r="W152" i="18" s="1"/>
  <c r="W43" i="19"/>
  <c r="Y43" i="19"/>
  <c r="R43" i="19"/>
  <c r="Z43" i="19"/>
  <c r="D25" i="20"/>
  <c r="D33" i="20"/>
  <c r="G43" i="19"/>
  <c r="G104" i="14"/>
  <c r="G106" i="14" s="1"/>
  <c r="B37" i="9" s="1"/>
  <c r="C152" i="18"/>
  <c r="K43" i="19"/>
  <c r="J266" i="14"/>
  <c r="H43" i="19"/>
  <c r="S43" i="19"/>
  <c r="D152" i="18"/>
  <c r="M43" i="19"/>
  <c r="O43" i="19"/>
  <c r="F154" i="18"/>
  <c r="I43" i="19"/>
  <c r="T43" i="19"/>
  <c r="G117" i="14"/>
  <c r="G128" i="14" s="1"/>
  <c r="G130" i="14" s="1"/>
  <c r="I265" i="14"/>
  <c r="F153" i="18" s="1"/>
  <c r="E152" i="18"/>
  <c r="X43" i="19"/>
  <c r="H305" i="14"/>
  <c r="E145" i="18" s="1"/>
  <c r="P43" i="19"/>
  <c r="J43" i="19"/>
  <c r="U43" i="19"/>
  <c r="J265" i="14"/>
  <c r="G153" i="18" s="1"/>
  <c r="V43" i="19"/>
  <c r="I264" i="14"/>
  <c r="F144" i="18"/>
  <c r="B146" i="18"/>
  <c r="W146" i="18" s="1"/>
  <c r="I305" i="14"/>
  <c r="F145" i="18" s="1"/>
  <c r="W38" i="20"/>
  <c r="F38" i="20"/>
  <c r="G36" i="19"/>
  <c r="L38" i="20"/>
  <c r="H38" i="20"/>
  <c r="E143" i="18"/>
  <c r="D38" i="20"/>
  <c r="S38" i="20"/>
  <c r="O38" i="20"/>
  <c r="U38" i="20"/>
  <c r="V38" i="20"/>
  <c r="G38" i="20"/>
  <c r="Q38" i="20"/>
  <c r="R38" i="20"/>
  <c r="T38" i="20"/>
  <c r="M38" i="20"/>
  <c r="X9" i="20"/>
  <c r="X24" i="20"/>
  <c r="W9" i="20"/>
  <c r="W24" i="20"/>
  <c r="V9" i="20"/>
  <c r="V24" i="20"/>
  <c r="U9" i="20"/>
  <c r="U24" i="20"/>
  <c r="T9" i="20"/>
  <c r="T24" i="20"/>
  <c r="S9" i="20"/>
  <c r="S24" i="20"/>
  <c r="R9" i="20"/>
  <c r="R24" i="20"/>
  <c r="Q9" i="20"/>
  <c r="Q24" i="20"/>
  <c r="P9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J38" i="20"/>
  <c r="P38" i="20"/>
  <c r="I38" i="20"/>
  <c r="E38" i="20"/>
  <c r="L43" i="19"/>
  <c r="G58" i="18"/>
  <c r="G45" i="14"/>
  <c r="G46" i="14"/>
  <c r="G43" i="14"/>
  <c r="G44" i="14"/>
  <c r="G47" i="14"/>
  <c r="AB104" i="14"/>
  <c r="AB106" i="14" s="1"/>
  <c r="K173" i="14"/>
  <c r="F77" i="14"/>
  <c r="H77" i="14"/>
  <c r="G77" i="14"/>
  <c r="G81" i="14" s="1"/>
  <c r="L176" i="14"/>
  <c r="K176" i="14"/>
  <c r="L181" i="14"/>
  <c r="K191" i="14"/>
  <c r="K194" i="14"/>
  <c r="K207" i="14"/>
  <c r="L207" i="14" s="1"/>
  <c r="M207" i="14" s="1"/>
  <c r="N207" i="14" s="1"/>
  <c r="O207" i="14" s="1"/>
  <c r="P207" i="14" s="1"/>
  <c r="Q207" i="14" s="1"/>
  <c r="R207" i="14" s="1"/>
  <c r="S207" i="14" s="1"/>
  <c r="T207" i="14" s="1"/>
  <c r="U207" i="14" s="1"/>
  <c r="V207" i="14" s="1"/>
  <c r="W207" i="14" s="1"/>
  <c r="X207" i="14" s="1"/>
  <c r="Y207" i="14" s="1"/>
  <c r="Z207" i="14" s="1"/>
  <c r="AA207" i="14" s="1"/>
  <c r="K206" i="14"/>
  <c r="L206" i="14" s="1"/>
  <c r="M206" i="14" s="1"/>
  <c r="N206" i="14" s="1"/>
  <c r="O206" i="14" s="1"/>
  <c r="P206" i="14" s="1"/>
  <c r="Q206" i="14" s="1"/>
  <c r="R206" i="14" s="1"/>
  <c r="S206" i="14" s="1"/>
  <c r="T206" i="14" s="1"/>
  <c r="U206" i="14" s="1"/>
  <c r="V206" i="14" s="1"/>
  <c r="W206" i="14" s="1"/>
  <c r="X206" i="14" s="1"/>
  <c r="Y206" i="14" s="1"/>
  <c r="Z206" i="14" s="1"/>
  <c r="AA206" i="14" s="1"/>
  <c r="K208" i="14"/>
  <c r="L208" i="14" s="1"/>
  <c r="M208" i="14" s="1"/>
  <c r="N208" i="14" s="1"/>
  <c r="O208" i="14" s="1"/>
  <c r="P208" i="14" s="1"/>
  <c r="Q208" i="14" s="1"/>
  <c r="R208" i="14" s="1"/>
  <c r="S208" i="14" s="1"/>
  <c r="T208" i="14" s="1"/>
  <c r="U208" i="14" s="1"/>
  <c r="V208" i="14" s="1"/>
  <c r="W208" i="14" s="1"/>
  <c r="X208" i="14" s="1"/>
  <c r="Y208" i="14" s="1"/>
  <c r="Z208" i="14" s="1"/>
  <c r="AA208" i="14" s="1"/>
  <c r="G38" i="12"/>
  <c r="E38" i="12"/>
  <c r="D38" i="12"/>
  <c r="AF4" i="19"/>
  <c r="AG4" i="19"/>
  <c r="AH4" i="19"/>
  <c r="AI4" i="19"/>
  <c r="AJ4" i="19"/>
  <c r="AK4" i="19"/>
  <c r="AL4" i="19"/>
  <c r="AM4" i="19"/>
  <c r="AN4" i="19"/>
  <c r="AO4" i="19"/>
  <c r="AP4" i="19"/>
  <c r="AQ4" i="19"/>
  <c r="AR4" i="19"/>
  <c r="AS4" i="19"/>
  <c r="AT4" i="19"/>
  <c r="AU4" i="19"/>
  <c r="F38" i="12"/>
  <c r="AE5" i="19"/>
  <c r="AF5" i="19"/>
  <c r="AG5" i="19"/>
  <c r="AH5" i="19"/>
  <c r="AI5" i="19"/>
  <c r="AJ5" i="19"/>
  <c r="AK5" i="19"/>
  <c r="AL5" i="19"/>
  <c r="AM5" i="19"/>
  <c r="AN5" i="19"/>
  <c r="AO5" i="19"/>
  <c r="AP5" i="19"/>
  <c r="AQ5" i="19"/>
  <c r="AR5" i="19"/>
  <c r="AS5" i="19"/>
  <c r="AT5" i="19"/>
  <c r="AU5" i="19"/>
  <c r="AE5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E3" i="20"/>
  <c r="AF3" i="20"/>
  <c r="AG3" i="20"/>
  <c r="AH3" i="20"/>
  <c r="AI3" i="20"/>
  <c r="AJ3" i="20"/>
  <c r="AK3" i="20"/>
  <c r="AL3" i="20"/>
  <c r="AM3" i="20"/>
  <c r="AN3" i="20"/>
  <c r="AO3" i="20"/>
  <c r="AP3" i="20"/>
  <c r="AQ3" i="20"/>
  <c r="AR3" i="20"/>
  <c r="AS3" i="20"/>
  <c r="AT3" i="20"/>
  <c r="AU3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AS4" i="20"/>
  <c r="AT4" i="20"/>
  <c r="AU4" i="20"/>
  <c r="AE3" i="12"/>
  <c r="AF3" i="12"/>
  <c r="AG3" i="12"/>
  <c r="AH3" i="12"/>
  <c r="AI3" i="12"/>
  <c r="AJ3" i="12"/>
  <c r="AK3" i="12"/>
  <c r="AL3" i="12"/>
  <c r="AM3" i="12"/>
  <c r="AN3" i="12"/>
  <c r="AO3" i="12"/>
  <c r="AP3" i="12"/>
  <c r="AQ3" i="12"/>
  <c r="AR3" i="12"/>
  <c r="AS3" i="12"/>
  <c r="AT3" i="12"/>
  <c r="AU3" i="12"/>
  <c r="F81" i="14"/>
  <c r="C146" i="18"/>
  <c r="Q82" i="14"/>
  <c r="C155" i="18"/>
  <c r="M155" i="18"/>
  <c r="F83" i="14"/>
  <c r="C4" i="21"/>
  <c r="C5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A4" i="21"/>
  <c r="AB4" i="21"/>
  <c r="AC4" i="21"/>
  <c r="AD4" i="21"/>
  <c r="AE4" i="21"/>
  <c r="AF4" i="21"/>
  <c r="AG4" i="21"/>
  <c r="AH4" i="21"/>
  <c r="AI4" i="21"/>
  <c r="AJ4" i="21"/>
  <c r="AK4" i="21"/>
  <c r="AL4" i="21"/>
  <c r="AM4" i="21"/>
  <c r="AN4" i="21"/>
  <c r="AO4" i="21"/>
  <c r="AP4" i="21"/>
  <c r="AQ4" i="21"/>
  <c r="AR4" i="21"/>
  <c r="AS4" i="21"/>
  <c r="AT4" i="21"/>
  <c r="AU4" i="21"/>
  <c r="AV4" i="21"/>
  <c r="AW4" i="21"/>
  <c r="AX4" i="21"/>
  <c r="AY4" i="21"/>
  <c r="AZ4" i="21"/>
  <c r="BA4" i="21"/>
  <c r="BB4" i="21"/>
  <c r="BC4" i="21"/>
  <c r="BD4" i="21"/>
  <c r="BE4" i="21"/>
  <c r="BF4" i="21"/>
  <c r="BG4" i="21"/>
  <c r="BH4" i="21"/>
  <c r="BI4" i="21"/>
  <c r="BJ4" i="21"/>
  <c r="BK4" i="21"/>
  <c r="BL4" i="21"/>
  <c r="BM4" i="21"/>
  <c r="BN4" i="21"/>
  <c r="BO4" i="21"/>
  <c r="BP4" i="21"/>
  <c r="BQ4" i="21"/>
  <c r="BR4" i="21"/>
  <c r="BS4" i="21"/>
  <c r="BT4" i="21"/>
  <c r="BU4" i="21"/>
  <c r="BV4" i="21"/>
  <c r="BW4" i="21"/>
  <c r="BX4" i="21"/>
  <c r="BY4" i="21"/>
  <c r="BZ4" i="21"/>
  <c r="CA4" i="21"/>
  <c r="CB4" i="21"/>
  <c r="CC4" i="21"/>
  <c r="CD4" i="21"/>
  <c r="CE4" i="21"/>
  <c r="CF4" i="21"/>
  <c r="CG4" i="21"/>
  <c r="CH4" i="21"/>
  <c r="CI4" i="21"/>
  <c r="CJ4" i="21"/>
  <c r="CK4" i="21"/>
  <c r="CL4" i="21"/>
  <c r="CM4" i="21"/>
  <c r="CN4" i="21"/>
  <c r="S5" i="21"/>
  <c r="D5" i="21"/>
  <c r="T5" i="21"/>
  <c r="K5" i="21"/>
  <c r="M5" i="21"/>
  <c r="O5" i="21"/>
  <c r="W5" i="21"/>
  <c r="F13" i="21"/>
  <c r="F15" i="21"/>
  <c r="F17" i="21"/>
  <c r="F21" i="21"/>
  <c r="W12" i="21"/>
  <c r="F23" i="21"/>
  <c r="R5" i="21"/>
  <c r="J5" i="21"/>
  <c r="L5" i="21"/>
  <c r="E5" i="21"/>
  <c r="U5" i="21"/>
  <c r="F5" i="21"/>
  <c r="N5" i="21"/>
  <c r="V5" i="21"/>
  <c r="H5" i="21"/>
  <c r="P5" i="21"/>
  <c r="X5" i="21"/>
  <c r="F27" i="21"/>
  <c r="G5" i="21"/>
  <c r="I5" i="21"/>
  <c r="Q5" i="21"/>
  <c r="J307" i="14" l="1"/>
  <c r="L153" i="14"/>
  <c r="M198" i="14"/>
  <c r="M153" i="14" s="1"/>
  <c r="N198" i="14"/>
  <c r="M181" i="14"/>
  <c r="L172" i="14"/>
  <c r="N180" i="14"/>
  <c r="K266" i="14"/>
  <c r="G24" i="18"/>
  <c r="H24" i="18" s="1"/>
  <c r="I24" i="18" s="1"/>
  <c r="J24" i="18" s="1"/>
  <c r="C35" i="16"/>
  <c r="G5" i="5" s="1"/>
  <c r="G59" i="18"/>
  <c r="B58" i="9"/>
  <c r="G82" i="14"/>
  <c r="M29" i="16"/>
  <c r="M33" i="16" s="1"/>
  <c r="B155" i="18"/>
  <c r="W155" i="18" s="1"/>
  <c r="I95" i="14"/>
  <c r="I142" i="14"/>
  <c r="I152" i="14" s="1"/>
  <c r="D6" i="16"/>
  <c r="D27" i="16" s="1"/>
  <c r="I117" i="14"/>
  <c r="D5" i="16"/>
  <c r="D26" i="16" s="1"/>
  <c r="D7" i="16"/>
  <c r="D28" i="16" s="1"/>
  <c r="F82" i="14"/>
  <c r="G83" i="14"/>
  <c r="Q121" i="14"/>
  <c r="Q113" i="14" s="1"/>
  <c r="S113" i="14" s="1"/>
  <c r="Q99" i="14"/>
  <c r="Q146" i="14"/>
  <c r="B76" i="9"/>
  <c r="C29" i="16"/>
  <c r="C33" i="16" s="1"/>
  <c r="G3" i="5" s="1"/>
  <c r="R149" i="14"/>
  <c r="R152" i="14" s="1"/>
  <c r="Q79" i="14"/>
  <c r="M7" i="16" s="1"/>
  <c r="M28" i="16" s="1"/>
  <c r="B30" i="16"/>
  <c r="B34" i="16" s="1"/>
  <c r="F4" i="5" s="1"/>
  <c r="F8" i="5" s="1"/>
  <c r="U141" i="14"/>
  <c r="U143" i="14"/>
  <c r="U145" i="14"/>
  <c r="U147" i="14"/>
  <c r="S156" i="14"/>
  <c r="C76" i="9"/>
  <c r="O13" i="14"/>
  <c r="P29" i="14"/>
  <c r="O8" i="14"/>
  <c r="O23" i="14"/>
  <c r="P97" i="14"/>
  <c r="P119" i="14"/>
  <c r="C34" i="16"/>
  <c r="G4" i="5" s="1"/>
  <c r="L190" i="14"/>
  <c r="L191" i="14" s="1"/>
  <c r="H32" i="19"/>
  <c r="K41" i="19" s="1"/>
  <c r="B35" i="16"/>
  <c r="F5" i="5" s="1"/>
  <c r="F9" i="5" s="1"/>
  <c r="H39" i="14"/>
  <c r="H23" i="14" s="1"/>
  <c r="I36" i="14"/>
  <c r="H8" i="14"/>
  <c r="I101" i="14"/>
  <c r="I123" i="14"/>
  <c r="I148" i="14"/>
  <c r="B29" i="16"/>
  <c r="B33" i="16" s="1"/>
  <c r="F3" i="5" s="1"/>
  <c r="F7" i="5" s="1"/>
  <c r="K129" i="14"/>
  <c r="AA94" i="14"/>
  <c r="AA116" i="14"/>
  <c r="O175" i="14"/>
  <c r="P175" i="14" s="1"/>
  <c r="Q175" i="14" s="1"/>
  <c r="K105" i="14"/>
  <c r="L129" i="14"/>
  <c r="M172" i="14"/>
  <c r="N172" i="14" s="1"/>
  <c r="O172" i="14" s="1"/>
  <c r="P172" i="14" s="1"/>
  <c r="Q172" i="14" s="1"/>
  <c r="R172" i="14" s="1"/>
  <c r="S172" i="14" s="1"/>
  <c r="T172" i="14" s="1"/>
  <c r="U172" i="14" s="1"/>
  <c r="V172" i="14" s="1"/>
  <c r="W172" i="14" s="1"/>
  <c r="X172" i="14" s="1"/>
  <c r="Y172" i="14" s="1"/>
  <c r="Z172" i="14" s="1"/>
  <c r="AA172" i="14" s="1"/>
  <c r="AA105" i="14" s="1"/>
  <c r="L193" i="14"/>
  <c r="H33" i="12"/>
  <c r="O25" i="12"/>
  <c r="S31" i="12"/>
  <c r="O31" i="12"/>
  <c r="T31" i="12"/>
  <c r="T25" i="12"/>
  <c r="S25" i="12"/>
  <c r="R31" i="12"/>
  <c r="U25" i="12"/>
  <c r="R25" i="12"/>
  <c r="P31" i="12"/>
  <c r="W26" i="12"/>
  <c r="Q27" i="12"/>
  <c r="Q31" i="12" s="1"/>
  <c r="Q19" i="12"/>
  <c r="Q25" i="12" s="1"/>
  <c r="P18" i="12"/>
  <c r="P25" i="12" s="1"/>
  <c r="W28" i="12"/>
  <c r="W22" i="12"/>
  <c r="U26" i="12"/>
  <c r="W21" i="12"/>
  <c r="V28" i="12"/>
  <c r="V31" i="12" s="1"/>
  <c r="V22" i="12"/>
  <c r="V25" i="12" s="1"/>
  <c r="W30" i="12"/>
  <c r="W24" i="12"/>
  <c r="W20" i="12"/>
  <c r="U28" i="12"/>
  <c r="W27" i="12"/>
  <c r="J306" i="14"/>
  <c r="G154" i="18" s="1"/>
  <c r="L194" i="14"/>
  <c r="AB190" i="14"/>
  <c r="J305" i="14"/>
  <c r="G145" i="18" s="1"/>
  <c r="C59" i="18"/>
  <c r="Q81" i="14"/>
  <c r="M146" i="18"/>
  <c r="N199" i="14" l="1"/>
  <c r="L307" i="14"/>
  <c r="K307" i="14"/>
  <c r="M199" i="14"/>
  <c r="N153" i="14"/>
  <c r="N181" i="14"/>
  <c r="L266" i="14"/>
  <c r="O198" i="14"/>
  <c r="P198" i="14" s="1"/>
  <c r="Q198" i="14" s="1"/>
  <c r="O180" i="14"/>
  <c r="K24" i="18"/>
  <c r="L24" i="18" s="1"/>
  <c r="M24" i="18" s="1"/>
  <c r="N24" i="18" s="1"/>
  <c r="O24" i="18" s="1"/>
  <c r="P24" i="18" s="1"/>
  <c r="Q24" i="18" s="1"/>
  <c r="R24" i="18" s="1"/>
  <c r="S24" i="18" s="1"/>
  <c r="T24" i="18" s="1"/>
  <c r="U24" i="18" s="1"/>
  <c r="V24" i="18" s="1"/>
  <c r="G7" i="5"/>
  <c r="B38" i="9"/>
  <c r="B41" i="9" s="1"/>
  <c r="D19" i="5"/>
  <c r="B147" i="18" s="1"/>
  <c r="W147" i="18" s="1"/>
  <c r="C60" i="18"/>
  <c r="F14" i="5"/>
  <c r="I154" i="14"/>
  <c r="H83" i="14"/>
  <c r="I8" i="14"/>
  <c r="J36" i="14"/>
  <c r="I39" i="14"/>
  <c r="I23" i="14" s="1"/>
  <c r="I104" i="14"/>
  <c r="G217" i="14" s="1"/>
  <c r="P62" i="14"/>
  <c r="O45" i="14"/>
  <c r="I57" i="14"/>
  <c r="H44" i="14"/>
  <c r="H45" i="14"/>
  <c r="H46" i="14"/>
  <c r="H43" i="14"/>
  <c r="I72" i="14"/>
  <c r="H47" i="14"/>
  <c r="D21" i="5"/>
  <c r="F16" i="5"/>
  <c r="B77" i="9"/>
  <c r="B78" i="9" s="1"/>
  <c r="M190" i="14"/>
  <c r="I32" i="19"/>
  <c r="L41" i="19" s="1"/>
  <c r="V145" i="14"/>
  <c r="V143" i="14"/>
  <c r="T156" i="14"/>
  <c r="V141" i="14"/>
  <c r="V147" i="14"/>
  <c r="Q83" i="14"/>
  <c r="R175" i="14"/>
  <c r="S175" i="14" s="1"/>
  <c r="T175" i="14" s="1"/>
  <c r="U175" i="14" s="1"/>
  <c r="V175" i="14" s="1"/>
  <c r="W175" i="14" s="1"/>
  <c r="X175" i="14" s="1"/>
  <c r="Y175" i="14" s="1"/>
  <c r="Z175" i="14" s="1"/>
  <c r="AA175" i="14" s="1"/>
  <c r="Q129" i="14"/>
  <c r="P72" i="14"/>
  <c r="O47" i="14"/>
  <c r="G8" i="5"/>
  <c r="B59" i="9"/>
  <c r="B60" i="9" s="1"/>
  <c r="B3" i="18" s="1"/>
  <c r="F15" i="5"/>
  <c r="D20" i="5"/>
  <c r="B156" i="18" s="1"/>
  <c r="W156" i="18" s="1"/>
  <c r="G60" i="18"/>
  <c r="K42" i="19"/>
  <c r="F152" i="18" s="1"/>
  <c r="H38" i="12"/>
  <c r="O44" i="14"/>
  <c r="O43" i="14"/>
  <c r="P57" i="14"/>
  <c r="O46" i="14"/>
  <c r="D29" i="16"/>
  <c r="D33" i="16" s="1"/>
  <c r="H3" i="5" s="1"/>
  <c r="D30" i="16"/>
  <c r="D35" i="16" s="1"/>
  <c r="H5" i="5" s="1"/>
  <c r="H36" i="19"/>
  <c r="F143" i="18"/>
  <c r="M193" i="14"/>
  <c r="I33" i="12"/>
  <c r="P8" i="14"/>
  <c r="P13" i="14"/>
  <c r="Q29" i="14"/>
  <c r="P18" i="14"/>
  <c r="P23" i="14"/>
  <c r="I128" i="14"/>
  <c r="G9" i="5"/>
  <c r="W25" i="12"/>
  <c r="W31" i="12"/>
  <c r="X18" i="12"/>
  <c r="X27" i="12"/>
  <c r="X19" i="12"/>
  <c r="X30" i="12"/>
  <c r="X23" i="12"/>
  <c r="X20" i="12"/>
  <c r="X24" i="12"/>
  <c r="X21" i="12"/>
  <c r="X28" i="12"/>
  <c r="X22" i="12"/>
  <c r="X26" i="12"/>
  <c r="X29" i="12"/>
  <c r="U31" i="12"/>
  <c r="K306" i="14"/>
  <c r="H154" i="18" s="1"/>
  <c r="M194" i="14"/>
  <c r="AB192" i="14"/>
  <c r="M191" i="14"/>
  <c r="K305" i="14"/>
  <c r="H145" i="18" s="1"/>
  <c r="M129" i="14"/>
  <c r="M176" i="14"/>
  <c r="K265" i="14"/>
  <c r="H153" i="18" s="1"/>
  <c r="L105" i="14"/>
  <c r="L173" i="14"/>
  <c r="J264" i="14"/>
  <c r="G144" i="18" s="1"/>
  <c r="AB172" i="14"/>
  <c r="C61" i="18"/>
  <c r="D86" i="9"/>
  <c r="B148" i="18"/>
  <c r="W148" i="18" s="1"/>
  <c r="B2" i="18"/>
  <c r="B10" i="18" s="1"/>
  <c r="B7" i="18" l="1"/>
  <c r="B51" i="18" s="1"/>
  <c r="B3" i="22"/>
  <c r="O199" i="14"/>
  <c r="N307" i="14"/>
  <c r="M307" i="14"/>
  <c r="P199" i="14"/>
  <c r="D34" i="16"/>
  <c r="H4" i="5" s="1"/>
  <c r="O153" i="14"/>
  <c r="O181" i="14"/>
  <c r="M266" i="14"/>
  <c r="P180" i="14"/>
  <c r="C62" i="18"/>
  <c r="D61" i="18" s="1"/>
  <c r="H9" i="5"/>
  <c r="H16" i="5" s="1"/>
  <c r="F21" i="5"/>
  <c r="V8" i="14"/>
  <c r="X8" i="14"/>
  <c r="S8" i="14"/>
  <c r="U8" i="14"/>
  <c r="Q8" i="14"/>
  <c r="P43" i="14"/>
  <c r="R8" i="14"/>
  <c r="P44" i="14"/>
  <c r="T8" i="14"/>
  <c r="Y8" i="14"/>
  <c r="Q57" i="14"/>
  <c r="W8" i="14"/>
  <c r="Q101" i="14"/>
  <c r="Q123" i="14"/>
  <c r="Q148" i="14"/>
  <c r="D76" i="9"/>
  <c r="C77" i="9"/>
  <c r="C78" i="9" s="1"/>
  <c r="G16" i="5"/>
  <c r="E21" i="5"/>
  <c r="L42" i="19"/>
  <c r="G152" i="18" s="1"/>
  <c r="I38" i="12"/>
  <c r="Q95" i="14"/>
  <c r="P77" i="14"/>
  <c r="Q117" i="14"/>
  <c r="Q128" i="14" s="1"/>
  <c r="Q142" i="14"/>
  <c r="L6" i="16"/>
  <c r="L27" i="16" s="1"/>
  <c r="L7" i="16"/>
  <c r="L28" i="16" s="1"/>
  <c r="L5" i="16"/>
  <c r="L26" i="16" s="1"/>
  <c r="D88" i="9"/>
  <c r="B4" i="18"/>
  <c r="J72" i="14"/>
  <c r="I47" i="14"/>
  <c r="T13" i="14"/>
  <c r="R13" i="14"/>
  <c r="Y13" i="14"/>
  <c r="V13" i="14"/>
  <c r="X13" i="14"/>
  <c r="Q13" i="14"/>
  <c r="W13" i="14"/>
  <c r="Q62" i="14"/>
  <c r="P45" i="14"/>
  <c r="U13" i="14"/>
  <c r="S13" i="14"/>
  <c r="I130" i="14"/>
  <c r="D155" i="18"/>
  <c r="H82" i="14"/>
  <c r="J39" i="14"/>
  <c r="J23" i="14" s="1"/>
  <c r="J8" i="14"/>
  <c r="K36" i="14"/>
  <c r="B11" i="18"/>
  <c r="P47" i="14"/>
  <c r="Q72" i="14"/>
  <c r="H8" i="5"/>
  <c r="C59" i="9"/>
  <c r="C60" i="9" s="1"/>
  <c r="C3" i="18" s="1"/>
  <c r="C3" i="22" s="1"/>
  <c r="E20" i="5"/>
  <c r="C156" i="18" s="1"/>
  <c r="G15" i="5"/>
  <c r="G143" i="18"/>
  <c r="I36" i="19"/>
  <c r="J101" i="14"/>
  <c r="J148" i="14"/>
  <c r="J123" i="14"/>
  <c r="J57" i="14"/>
  <c r="I45" i="14"/>
  <c r="I46" i="14"/>
  <c r="I43" i="14"/>
  <c r="I44" i="14"/>
  <c r="J95" i="14"/>
  <c r="J117" i="14"/>
  <c r="J128" i="14" s="1"/>
  <c r="E5" i="16"/>
  <c r="E26" i="16" s="1"/>
  <c r="J142" i="14"/>
  <c r="J152" i="14" s="1"/>
  <c r="E6" i="16"/>
  <c r="E27" i="16" s="1"/>
  <c r="E7" i="16"/>
  <c r="E28" i="16" s="1"/>
  <c r="I77" i="14"/>
  <c r="B157" i="18"/>
  <c r="W157" i="18" s="1"/>
  <c r="G61" i="18"/>
  <c r="G62" i="18" s="1"/>
  <c r="Q67" i="14"/>
  <c r="P46" i="14"/>
  <c r="N190" i="14"/>
  <c r="J32" i="19"/>
  <c r="M41" i="19" s="1"/>
  <c r="O307" i="14"/>
  <c r="Q199" i="14"/>
  <c r="R198" i="14"/>
  <c r="W141" i="14"/>
  <c r="W143" i="14"/>
  <c r="W145" i="14"/>
  <c r="W147" i="14"/>
  <c r="U156" i="14"/>
  <c r="N193" i="14"/>
  <c r="J33" i="12"/>
  <c r="Q97" i="14"/>
  <c r="Q144" i="14"/>
  <c r="Q119" i="14"/>
  <c r="D87" i="9"/>
  <c r="R29" i="14"/>
  <c r="Q18" i="14"/>
  <c r="D146" i="18"/>
  <c r="H81" i="14"/>
  <c r="I106" i="14"/>
  <c r="D37" i="9" s="1"/>
  <c r="H7" i="5"/>
  <c r="C38" i="9"/>
  <c r="C41" i="9" s="1"/>
  <c r="E19" i="5"/>
  <c r="C147" i="18" s="1"/>
  <c r="G14" i="5"/>
  <c r="X31" i="12"/>
  <c r="X25" i="12"/>
  <c r="D59" i="18"/>
  <c r="N129" i="14"/>
  <c r="L265" i="14"/>
  <c r="I153" i="18" s="1"/>
  <c r="N176" i="14"/>
  <c r="AB174" i="14"/>
  <c r="M105" i="14"/>
  <c r="K264" i="14"/>
  <c r="H144" i="18" s="1"/>
  <c r="M173" i="14"/>
  <c r="B6" i="18"/>
  <c r="B50" i="18" s="1"/>
  <c r="D58" i="18"/>
  <c r="D60" i="18"/>
  <c r="D77" i="9" l="1"/>
  <c r="N266" i="14"/>
  <c r="Q180" i="14"/>
  <c r="P181" i="14"/>
  <c r="P153" i="14"/>
  <c r="H61" i="18"/>
  <c r="H60" i="18"/>
  <c r="H59" i="18"/>
  <c r="H58" i="18"/>
  <c r="E86" i="9"/>
  <c r="C148" i="18"/>
  <c r="J154" i="14"/>
  <c r="I83" i="14"/>
  <c r="B12" i="18"/>
  <c r="B8" i="18"/>
  <c r="B52" i="18" s="1"/>
  <c r="Q112" i="14"/>
  <c r="S112" i="14" s="1"/>
  <c r="P82" i="14"/>
  <c r="L155" i="18"/>
  <c r="D171" i="18" s="1"/>
  <c r="Y57" i="14"/>
  <c r="D38" i="9"/>
  <c r="D41" i="9" s="1"/>
  <c r="H14" i="5"/>
  <c r="F19" i="5"/>
  <c r="D147" i="18" s="1"/>
  <c r="E29" i="16"/>
  <c r="E33" i="16" s="1"/>
  <c r="I3" i="5" s="1"/>
  <c r="I7" i="5" s="1"/>
  <c r="L36" i="14"/>
  <c r="K39" i="14"/>
  <c r="K23" i="14" s="1"/>
  <c r="K8" i="14"/>
  <c r="U57" i="14"/>
  <c r="R99" i="14"/>
  <c r="R121" i="14"/>
  <c r="R146" i="14"/>
  <c r="J130" i="14"/>
  <c r="E58" i="9" s="1"/>
  <c r="I82" i="14"/>
  <c r="E155" i="18"/>
  <c r="K95" i="14"/>
  <c r="F6" i="16"/>
  <c r="F27" i="16" s="1"/>
  <c r="F30" i="16" s="1"/>
  <c r="F34" i="16" s="1"/>
  <c r="J4" i="5" s="1"/>
  <c r="F7" i="16"/>
  <c r="F28" i="16" s="1"/>
  <c r="F5" i="16"/>
  <c r="F26" i="16" s="1"/>
  <c r="K142" i="14"/>
  <c r="K117" i="14"/>
  <c r="K128" i="14" s="1"/>
  <c r="J77" i="14"/>
  <c r="J45" i="14"/>
  <c r="K57" i="14"/>
  <c r="J43" i="14"/>
  <c r="J46" i="14"/>
  <c r="J44" i="14"/>
  <c r="R97" i="14"/>
  <c r="R119" i="14"/>
  <c r="R144" i="14"/>
  <c r="Q104" i="14"/>
  <c r="O217" i="14" s="1"/>
  <c r="K32" i="19"/>
  <c r="N41" i="19" s="1"/>
  <c r="V62" i="14"/>
  <c r="R37" i="14"/>
  <c r="S62" i="14"/>
  <c r="E88" i="9"/>
  <c r="Z57" i="14"/>
  <c r="U62" i="14"/>
  <c r="D78" i="9"/>
  <c r="W57" i="14"/>
  <c r="J104" i="14"/>
  <c r="H217" i="14" s="1"/>
  <c r="K72" i="14"/>
  <c r="J47" i="14"/>
  <c r="X62" i="14"/>
  <c r="R36" i="14"/>
  <c r="S57" i="14"/>
  <c r="P307" i="14"/>
  <c r="R199" i="14"/>
  <c r="S198" i="14"/>
  <c r="E87" i="9"/>
  <c r="C157" i="18"/>
  <c r="Q37" i="14"/>
  <c r="R62" i="14"/>
  <c r="L305" i="14"/>
  <c r="I145" i="18" s="1"/>
  <c r="C2" i="18"/>
  <c r="O193" i="14"/>
  <c r="K33" i="12"/>
  <c r="D59" i="9"/>
  <c r="F20" i="5"/>
  <c r="D156" i="18" s="1"/>
  <c r="H15" i="5"/>
  <c r="Y62" i="14"/>
  <c r="C4" i="18"/>
  <c r="R57" i="14"/>
  <c r="Q36" i="14"/>
  <c r="N194" i="14"/>
  <c r="X145" i="14"/>
  <c r="X143" i="14"/>
  <c r="V156" i="14"/>
  <c r="X147" i="14"/>
  <c r="X141" i="14"/>
  <c r="R101" i="14"/>
  <c r="R123" i="14"/>
  <c r="R148" i="14"/>
  <c r="D58" i="9"/>
  <c r="W62" i="14"/>
  <c r="X57" i="14"/>
  <c r="V57" i="14"/>
  <c r="N191" i="14"/>
  <c r="M42" i="19"/>
  <c r="H152" i="18" s="1"/>
  <c r="J38" i="12"/>
  <c r="L29" i="16"/>
  <c r="L33" i="16" s="1"/>
  <c r="R67" i="14"/>
  <c r="L306" i="14"/>
  <c r="I154" i="18" s="1"/>
  <c r="S29" i="14"/>
  <c r="R18" i="14"/>
  <c r="J36" i="19"/>
  <c r="H143" i="18"/>
  <c r="E30" i="16"/>
  <c r="E35" i="16" s="1"/>
  <c r="I5" i="5" s="1"/>
  <c r="I9" i="5" s="1"/>
  <c r="S37" i="14"/>
  <c r="T62" i="14"/>
  <c r="Z62" i="14"/>
  <c r="K101" i="14"/>
  <c r="K123" i="14"/>
  <c r="K148" i="14"/>
  <c r="Q152" i="14"/>
  <c r="R95" i="14"/>
  <c r="R117" i="14"/>
  <c r="R142" i="14"/>
  <c r="S36" i="14"/>
  <c r="S39" i="14" s="1"/>
  <c r="T57" i="14"/>
  <c r="O194" i="14"/>
  <c r="M306" i="14"/>
  <c r="J154" i="18" s="1"/>
  <c r="M305" i="14"/>
  <c r="J145" i="18" s="1"/>
  <c r="O191" i="14"/>
  <c r="O129" i="14"/>
  <c r="O176" i="14"/>
  <c r="M265" i="14"/>
  <c r="J153" i="18" s="1"/>
  <c r="N105" i="14"/>
  <c r="N173" i="14"/>
  <c r="L264" i="14"/>
  <c r="I144" i="18" s="1"/>
  <c r="L30" i="16"/>
  <c r="E34" i="16" l="1"/>
  <c r="I4" i="5" s="1"/>
  <c r="I8" i="5" s="1"/>
  <c r="R180" i="14"/>
  <c r="O266" i="14"/>
  <c r="Q181" i="14"/>
  <c r="Q153" i="14"/>
  <c r="D2" i="18"/>
  <c r="F86" i="9"/>
  <c r="D148" i="18"/>
  <c r="E38" i="9"/>
  <c r="I14" i="5"/>
  <c r="G19" i="5"/>
  <c r="E147" i="18" s="1"/>
  <c r="E77" i="9"/>
  <c r="G21" i="5"/>
  <c r="I16" i="5"/>
  <c r="W95" i="14"/>
  <c r="W117" i="14"/>
  <c r="W142" i="14"/>
  <c r="Y97" i="14"/>
  <c r="Y119" i="14"/>
  <c r="Y144" i="14"/>
  <c r="Y141" i="14"/>
  <c r="Y143" i="14"/>
  <c r="Y145" i="14"/>
  <c r="Y147" i="14"/>
  <c r="W156" i="14"/>
  <c r="C23" i="18"/>
  <c r="C12" i="18" s="1"/>
  <c r="N42" i="19"/>
  <c r="I152" i="18" s="1"/>
  <c r="K38" i="12"/>
  <c r="W97" i="14"/>
  <c r="W119" i="14"/>
  <c r="W144" i="14"/>
  <c r="K152" i="14"/>
  <c r="X95" i="14"/>
  <c r="X117" i="14"/>
  <c r="X142" i="14"/>
  <c r="U97" i="14"/>
  <c r="U119" i="14"/>
  <c r="U144" i="14"/>
  <c r="Y95" i="14"/>
  <c r="Y117" i="14"/>
  <c r="Y142" i="14"/>
  <c r="D60" i="9"/>
  <c r="P193" i="14"/>
  <c r="L33" i="12"/>
  <c r="F29" i="16"/>
  <c r="F33" i="16" s="1"/>
  <c r="J3" i="5" s="1"/>
  <c r="J7" i="5" s="1"/>
  <c r="E76" i="9"/>
  <c r="Q154" i="14"/>
  <c r="P83" i="14"/>
  <c r="S67" i="14"/>
  <c r="Z97" i="14"/>
  <c r="Z119" i="14"/>
  <c r="C21" i="18"/>
  <c r="C10" i="18" s="1"/>
  <c r="R39" i="14"/>
  <c r="F88" i="9"/>
  <c r="D4" i="18"/>
  <c r="F35" i="16"/>
  <c r="J5" i="5" s="1"/>
  <c r="J9" i="5" s="1"/>
  <c r="L57" i="14"/>
  <c r="K46" i="14"/>
  <c r="K44" i="14"/>
  <c r="K43" i="14"/>
  <c r="K45" i="14"/>
  <c r="S24" i="14"/>
  <c r="T73" i="14" s="1"/>
  <c r="S25" i="14"/>
  <c r="T74" i="14" s="1"/>
  <c r="S26" i="14"/>
  <c r="T75" i="14" s="1"/>
  <c r="T95" i="14"/>
  <c r="T117" i="14"/>
  <c r="T142" i="14"/>
  <c r="AA95" i="14"/>
  <c r="AA117" i="14"/>
  <c r="T29" i="14"/>
  <c r="S23" i="14"/>
  <c r="S18" i="14"/>
  <c r="L101" i="14"/>
  <c r="L148" i="14"/>
  <c r="L123" i="14"/>
  <c r="V97" i="14"/>
  <c r="V119" i="14"/>
  <c r="V144" i="14"/>
  <c r="K36" i="19"/>
  <c r="I143" i="18"/>
  <c r="L72" i="14"/>
  <c r="K47" i="14"/>
  <c r="Z95" i="14"/>
  <c r="Z117" i="14"/>
  <c r="Z142" i="14"/>
  <c r="AA97" i="14"/>
  <c r="AA119" i="14"/>
  <c r="J8" i="5"/>
  <c r="E59" i="9"/>
  <c r="E60" i="9" s="1"/>
  <c r="G20" i="5"/>
  <c r="E156" i="18" s="1"/>
  <c r="I15" i="5"/>
  <c r="U95" i="14"/>
  <c r="U117" i="14"/>
  <c r="U142" i="14"/>
  <c r="Q39" i="14"/>
  <c r="S97" i="14"/>
  <c r="S119" i="14"/>
  <c r="S144" i="14"/>
  <c r="Q307" i="14"/>
  <c r="S199" i="14"/>
  <c r="T198" i="14"/>
  <c r="E146" i="18"/>
  <c r="I81" i="14"/>
  <c r="J106" i="14"/>
  <c r="E37" i="9" s="1"/>
  <c r="P190" i="14"/>
  <c r="L32" i="19"/>
  <c r="O41" i="19" s="1"/>
  <c r="L95" i="14"/>
  <c r="G6" i="16"/>
  <c r="G27" i="16" s="1"/>
  <c r="G30" i="16" s="1"/>
  <c r="G34" i="16" s="1"/>
  <c r="K4" i="5" s="1"/>
  <c r="G7" i="16"/>
  <c r="G28" i="16" s="1"/>
  <c r="L117" i="14"/>
  <c r="L128" i="14" s="1"/>
  <c r="L142" i="14"/>
  <c r="L152" i="14" s="1"/>
  <c r="G5" i="16"/>
  <c r="G26" i="16" s="1"/>
  <c r="K77" i="14"/>
  <c r="K104" i="14"/>
  <c r="I217" i="14" s="1"/>
  <c r="L8" i="14"/>
  <c r="L39" i="14"/>
  <c r="L23" i="14" s="1"/>
  <c r="M36" i="14"/>
  <c r="S99" i="14"/>
  <c r="S121" i="14"/>
  <c r="S146" i="14"/>
  <c r="K130" i="14"/>
  <c r="F155" i="18"/>
  <c r="J82" i="14"/>
  <c r="X97" i="14"/>
  <c r="X119" i="14"/>
  <c r="X144" i="14"/>
  <c r="S95" i="14"/>
  <c r="S117" i="14"/>
  <c r="S142" i="14"/>
  <c r="T97" i="14"/>
  <c r="T119" i="14"/>
  <c r="T144" i="14"/>
  <c r="L146" i="18"/>
  <c r="P81" i="14"/>
  <c r="V95" i="14"/>
  <c r="V117" i="14"/>
  <c r="V142" i="14"/>
  <c r="N306" i="14"/>
  <c r="K154" i="18" s="1"/>
  <c r="P194" i="14"/>
  <c r="N305" i="14"/>
  <c r="K145" i="18" s="1"/>
  <c r="P191" i="14"/>
  <c r="P129" i="14"/>
  <c r="P176" i="14"/>
  <c r="N265" i="14"/>
  <c r="K153" i="18" s="1"/>
  <c r="O105" i="14"/>
  <c r="M264" i="14"/>
  <c r="J144" i="18" s="1"/>
  <c r="O173" i="14"/>
  <c r="L35" i="16"/>
  <c r="P5" i="5" s="1"/>
  <c r="P3" i="5"/>
  <c r="L34" i="16"/>
  <c r="P4" i="5" s="1"/>
  <c r="M30" i="16"/>
  <c r="G35" i="16" l="1"/>
  <c r="K5" i="5" s="1"/>
  <c r="K9" i="5" s="1"/>
  <c r="G77" i="9" s="1"/>
  <c r="S180" i="14"/>
  <c r="P266" i="14"/>
  <c r="R181" i="14"/>
  <c r="R153" i="14"/>
  <c r="R154" i="14" s="1"/>
  <c r="M76" i="9" s="1"/>
  <c r="E41" i="9"/>
  <c r="E148" i="18" s="1"/>
  <c r="E78" i="9"/>
  <c r="E4" i="18" s="1"/>
  <c r="E3" i="18"/>
  <c r="E3" i="22" s="1"/>
  <c r="E157" i="18"/>
  <c r="G87" i="9"/>
  <c r="F38" i="9"/>
  <c r="H19" i="5"/>
  <c r="F147" i="18" s="1"/>
  <c r="J14" i="5"/>
  <c r="M8" i="14"/>
  <c r="N36" i="14"/>
  <c r="M39" i="14"/>
  <c r="M23" i="14" s="1"/>
  <c r="I21" i="5"/>
  <c r="K16" i="5"/>
  <c r="T99" i="14"/>
  <c r="T121" i="14"/>
  <c r="T146" i="14"/>
  <c r="K154" i="14"/>
  <c r="F76" i="9" s="1"/>
  <c r="J83" i="14"/>
  <c r="M72" i="14"/>
  <c r="L47" i="14"/>
  <c r="R307" i="14"/>
  <c r="T199" i="14"/>
  <c r="U198" i="14"/>
  <c r="R26" i="14"/>
  <c r="S75" i="14" s="1"/>
  <c r="R24" i="14"/>
  <c r="S73" i="14" s="1"/>
  <c r="R25" i="14"/>
  <c r="S74" i="14" s="1"/>
  <c r="R23" i="14"/>
  <c r="Z145" i="14"/>
  <c r="Z141" i="14"/>
  <c r="Z143" i="14"/>
  <c r="X156" i="14"/>
  <c r="Z147" i="14"/>
  <c r="Q25" i="14"/>
  <c r="R74" i="14" s="1"/>
  <c r="Q26" i="14"/>
  <c r="R75" i="14" s="1"/>
  <c r="Q24" i="14"/>
  <c r="R73" i="14" s="1"/>
  <c r="Q23" i="14"/>
  <c r="C27" i="18"/>
  <c r="C30" i="18"/>
  <c r="D23" i="18"/>
  <c r="D12" i="18" s="1"/>
  <c r="M57" i="14"/>
  <c r="L46" i="14"/>
  <c r="L43" i="14"/>
  <c r="L44" i="14"/>
  <c r="L45" i="14"/>
  <c r="L104" i="14"/>
  <c r="J217" i="14" s="1"/>
  <c r="K106" i="14"/>
  <c r="J81" i="14"/>
  <c r="F146" i="18"/>
  <c r="L36" i="19"/>
  <c r="J143" i="18"/>
  <c r="D21" i="18"/>
  <c r="C22" i="18"/>
  <c r="C25" i="18"/>
  <c r="O42" i="19"/>
  <c r="J152" i="18" s="1"/>
  <c r="L38" i="12"/>
  <c r="L130" i="14"/>
  <c r="K82" i="14"/>
  <c r="G155" i="18"/>
  <c r="U102" i="14"/>
  <c r="U104" i="14" s="1"/>
  <c r="S217" i="14" s="1"/>
  <c r="T77" i="14"/>
  <c r="P5" i="16" s="1"/>
  <c r="P26" i="16" s="1"/>
  <c r="F58" i="9"/>
  <c r="Q190" i="14"/>
  <c r="M32" i="19"/>
  <c r="P41" i="19" s="1"/>
  <c r="S46" i="14"/>
  <c r="T67" i="14"/>
  <c r="S43" i="14"/>
  <c r="S44" i="14"/>
  <c r="S45" i="14"/>
  <c r="M95" i="14"/>
  <c r="M117" i="14"/>
  <c r="H7" i="16"/>
  <c r="H28" i="16" s="1"/>
  <c r="H5" i="16"/>
  <c r="H26" i="16" s="1"/>
  <c r="H6" i="16"/>
  <c r="H27" i="16" s="1"/>
  <c r="M142" i="14"/>
  <c r="M152" i="14" s="1"/>
  <c r="L77" i="14"/>
  <c r="C28" i="18"/>
  <c r="L76" i="9"/>
  <c r="Q193" i="14"/>
  <c r="M33" i="12"/>
  <c r="G29" i="16"/>
  <c r="G33" i="16" s="1"/>
  <c r="K3" i="5" s="1"/>
  <c r="K7" i="5" s="1"/>
  <c r="G86" i="9"/>
  <c r="S47" i="14"/>
  <c r="T72" i="14"/>
  <c r="T79" i="14"/>
  <c r="P7" i="16" s="1"/>
  <c r="P28" i="16" s="1"/>
  <c r="U149" i="14"/>
  <c r="U152" i="14" s="1"/>
  <c r="J16" i="5"/>
  <c r="F77" i="9"/>
  <c r="H21" i="5"/>
  <c r="Z144" i="14"/>
  <c r="D157" i="18"/>
  <c r="F87" i="9"/>
  <c r="D3" i="18"/>
  <c r="D3" i="22" s="1"/>
  <c r="L154" i="14"/>
  <c r="G76" i="9" s="1"/>
  <c r="K83" i="14"/>
  <c r="K8" i="5"/>
  <c r="F59" i="9"/>
  <c r="H20" i="5"/>
  <c r="F156" i="18" s="1"/>
  <c r="J15" i="5"/>
  <c r="M101" i="14"/>
  <c r="M148" i="14"/>
  <c r="M123" i="14"/>
  <c r="U29" i="14"/>
  <c r="T18" i="14"/>
  <c r="T37" i="14"/>
  <c r="T36" i="14"/>
  <c r="T39" i="14" s="1"/>
  <c r="U124" i="14"/>
  <c r="U128" i="14" s="1"/>
  <c r="S218" i="14" s="1"/>
  <c r="T78" i="14"/>
  <c r="P6" i="16" s="1"/>
  <c r="P27" i="16" s="1"/>
  <c r="O306" i="14"/>
  <c r="L154" i="18" s="1"/>
  <c r="Q194" i="14"/>
  <c r="O305" i="14"/>
  <c r="L145" i="18" s="1"/>
  <c r="Q191" i="14"/>
  <c r="Q130" i="14"/>
  <c r="L58" i="9" s="1"/>
  <c r="Q176" i="14"/>
  <c r="O265" i="14"/>
  <c r="L153" i="18" s="1"/>
  <c r="D170" i="18" s="1"/>
  <c r="P105" i="14"/>
  <c r="N264" i="14"/>
  <c r="K144" i="18" s="1"/>
  <c r="P173" i="14"/>
  <c r="M34" i="16"/>
  <c r="Q4" i="5" s="1"/>
  <c r="Q3" i="5"/>
  <c r="M35" i="16"/>
  <c r="Q5" i="5" s="1"/>
  <c r="E2" i="18" l="1"/>
  <c r="E21" i="18" s="1"/>
  <c r="F60" i="9"/>
  <c r="G88" i="9"/>
  <c r="Q266" i="14"/>
  <c r="S181" i="14"/>
  <c r="T180" i="14"/>
  <c r="S153" i="14"/>
  <c r="G38" i="9"/>
  <c r="I19" i="5"/>
  <c r="G147" i="18" s="1"/>
  <c r="K14" i="5"/>
  <c r="F157" i="18"/>
  <c r="H87" i="9"/>
  <c r="S124" i="14"/>
  <c r="S128" i="14" s="1"/>
  <c r="Q218" i="14" s="1"/>
  <c r="R78" i="14"/>
  <c r="N6" i="16" s="1"/>
  <c r="N27" i="16" s="1"/>
  <c r="N30" i="16" s="1"/>
  <c r="T102" i="14"/>
  <c r="T104" i="14" s="1"/>
  <c r="R217" i="14" s="1"/>
  <c r="S77" i="14"/>
  <c r="O5" i="16" s="1"/>
  <c r="O26" i="16" s="1"/>
  <c r="N57" i="14"/>
  <c r="M43" i="14"/>
  <c r="M44" i="14"/>
  <c r="M46" i="14"/>
  <c r="M45" i="14"/>
  <c r="F78" i="9"/>
  <c r="C31" i="18"/>
  <c r="C32" i="18"/>
  <c r="F37" i="9"/>
  <c r="F41" i="9" s="1"/>
  <c r="F2" i="18" s="1"/>
  <c r="N95" i="14"/>
  <c r="N104" i="14" s="1"/>
  <c r="L217" i="14" s="1"/>
  <c r="I5" i="16"/>
  <c r="I26" i="16" s="1"/>
  <c r="I6" i="16"/>
  <c r="I27" i="16" s="1"/>
  <c r="I7" i="16"/>
  <c r="I28" i="16" s="1"/>
  <c r="N117" i="14"/>
  <c r="M77" i="14"/>
  <c r="N142" i="14"/>
  <c r="T149" i="14"/>
  <c r="T152" i="14" s="1"/>
  <c r="S79" i="14"/>
  <c r="O7" i="16" s="1"/>
  <c r="O28" i="16" s="1"/>
  <c r="C29" i="18"/>
  <c r="C26" i="18"/>
  <c r="C11" i="18"/>
  <c r="T26" i="14"/>
  <c r="U75" i="14" s="1"/>
  <c r="T25" i="14"/>
  <c r="U74" i="14" s="1"/>
  <c r="T24" i="14"/>
  <c r="U73" i="14" s="1"/>
  <c r="T83" i="14"/>
  <c r="H30" i="16"/>
  <c r="H34" i="16" s="1"/>
  <c r="L4" i="5" s="1"/>
  <c r="L8" i="5" s="1"/>
  <c r="U99" i="14"/>
  <c r="U121" i="14"/>
  <c r="U146" i="14"/>
  <c r="P146" i="18"/>
  <c r="T81" i="14"/>
  <c r="D22" i="18"/>
  <c r="D11" i="18" s="1"/>
  <c r="D28" i="18"/>
  <c r="D25" i="18"/>
  <c r="U199" i="14"/>
  <c r="S307" i="14"/>
  <c r="V198" i="14"/>
  <c r="G78" i="9"/>
  <c r="M154" i="14"/>
  <c r="L83" i="14"/>
  <c r="D30" i="18"/>
  <c r="E23" i="18"/>
  <c r="E12" i="18" s="1"/>
  <c r="D27" i="18"/>
  <c r="P42" i="19"/>
  <c r="K152" i="18" s="1"/>
  <c r="M38" i="12"/>
  <c r="C37" i="18"/>
  <c r="C38" i="18"/>
  <c r="T23" i="14"/>
  <c r="U101" i="14"/>
  <c r="U123" i="14"/>
  <c r="U148" i="14"/>
  <c r="R193" i="14"/>
  <c r="N33" i="12"/>
  <c r="K143" i="18"/>
  <c r="M36" i="19"/>
  <c r="Q47" i="14"/>
  <c r="R72" i="14"/>
  <c r="Q45" i="14"/>
  <c r="Q43" i="14"/>
  <c r="Q44" i="14"/>
  <c r="Q46" i="14"/>
  <c r="P155" i="18"/>
  <c r="T82" i="14"/>
  <c r="AA141" i="14"/>
  <c r="AA143" i="14"/>
  <c r="AA147" i="14"/>
  <c r="AA145" i="14"/>
  <c r="AA144" i="14"/>
  <c r="AA142" i="14"/>
  <c r="H29" i="16"/>
  <c r="H33" i="16" s="1"/>
  <c r="L3" i="5" s="1"/>
  <c r="L7" i="5" s="1"/>
  <c r="D10" i="18"/>
  <c r="W18" i="14"/>
  <c r="U18" i="14"/>
  <c r="Y18" i="14"/>
  <c r="V18" i="14"/>
  <c r="T46" i="14"/>
  <c r="U67" i="14"/>
  <c r="X18" i="14"/>
  <c r="T45" i="14"/>
  <c r="T43" i="14"/>
  <c r="T44" i="14"/>
  <c r="G59" i="9"/>
  <c r="K15" i="5"/>
  <c r="I20" i="5"/>
  <c r="G156" i="18" s="1"/>
  <c r="M128" i="14"/>
  <c r="R190" i="14"/>
  <c r="P305" i="14" s="1"/>
  <c r="M145" i="18" s="1"/>
  <c r="N32" i="19"/>
  <c r="Q41" i="19" s="1"/>
  <c r="G58" i="9"/>
  <c r="S102" i="14"/>
  <c r="S104" i="14" s="1"/>
  <c r="Q217" i="14" s="1"/>
  <c r="R77" i="14"/>
  <c r="N5" i="16" s="1"/>
  <c r="N26" i="16" s="1"/>
  <c r="R47" i="14"/>
  <c r="S72" i="14"/>
  <c r="R45" i="14"/>
  <c r="R43" i="14"/>
  <c r="R44" i="14"/>
  <c r="R46" i="14"/>
  <c r="N72" i="14"/>
  <c r="M47" i="14"/>
  <c r="P29" i="16"/>
  <c r="P33" i="16" s="1"/>
  <c r="G146" i="18"/>
  <c r="K81" i="14"/>
  <c r="L106" i="14"/>
  <c r="G37" i="9" s="1"/>
  <c r="G41" i="9" s="1"/>
  <c r="V29" i="14"/>
  <c r="U37" i="14"/>
  <c r="U36" i="14"/>
  <c r="M104" i="14"/>
  <c r="K217" i="14" s="1"/>
  <c r="F3" i="18"/>
  <c r="F3" i="22" s="1"/>
  <c r="R79" i="14"/>
  <c r="N7" i="16" s="1"/>
  <c r="N28" i="16" s="1"/>
  <c r="S149" i="14"/>
  <c r="S152" i="14" s="1"/>
  <c r="T124" i="14"/>
  <c r="T128" i="14" s="1"/>
  <c r="R218" i="14" s="1"/>
  <c r="S78" i="14"/>
  <c r="O6" i="16" s="1"/>
  <c r="O27" i="16" s="1"/>
  <c r="O30" i="16" s="1"/>
  <c r="N101" i="14"/>
  <c r="N148" i="14"/>
  <c r="N123" i="14"/>
  <c r="N8" i="14"/>
  <c r="N39" i="14"/>
  <c r="N23" i="14" s="1"/>
  <c r="R129" i="14"/>
  <c r="R130" i="14" s="1"/>
  <c r="M58" i="9" s="1"/>
  <c r="P265" i="14"/>
  <c r="M153" i="18" s="1"/>
  <c r="R176" i="14"/>
  <c r="G66" i="18"/>
  <c r="Q105" i="14"/>
  <c r="Q106" i="14" s="1"/>
  <c r="L37" i="9" s="1"/>
  <c r="O264" i="14"/>
  <c r="L144" i="18" s="1"/>
  <c r="Q173" i="14"/>
  <c r="C33" i="18" l="1"/>
  <c r="C6" i="18" s="1"/>
  <c r="C43" i="18" s="1"/>
  <c r="C50" i="18" s="1"/>
  <c r="R266" i="14"/>
  <c r="U180" i="14"/>
  <c r="T181" i="14"/>
  <c r="T153" i="14"/>
  <c r="G60" i="9"/>
  <c r="G3" i="18" s="1"/>
  <c r="G3" i="22" s="1"/>
  <c r="N34" i="16"/>
  <c r="R4" i="5" s="1"/>
  <c r="N35" i="16"/>
  <c r="R5" i="5" s="1"/>
  <c r="H59" i="9"/>
  <c r="J20" i="5"/>
  <c r="H156" i="18" s="1"/>
  <c r="L15" i="5"/>
  <c r="H38" i="9"/>
  <c r="J19" i="5"/>
  <c r="H147" i="18" s="1"/>
  <c r="L14" i="5"/>
  <c r="F4" i="18"/>
  <c r="F23" i="18" s="1"/>
  <c r="H88" i="9"/>
  <c r="S193" i="14"/>
  <c r="O33" i="12"/>
  <c r="E22" i="18"/>
  <c r="E25" i="18"/>
  <c r="E28" i="18"/>
  <c r="F21" i="18"/>
  <c r="S101" i="14"/>
  <c r="S123" i="14"/>
  <c r="S148" i="14"/>
  <c r="M81" i="14"/>
  <c r="I146" i="18"/>
  <c r="N106" i="14"/>
  <c r="O101" i="14"/>
  <c r="O123" i="14"/>
  <c r="O148" i="14"/>
  <c r="V99" i="14"/>
  <c r="V121" i="14"/>
  <c r="V146" i="14"/>
  <c r="D37" i="18"/>
  <c r="D38" i="18"/>
  <c r="T307" i="14"/>
  <c r="V199" i="14"/>
  <c r="W198" i="14"/>
  <c r="T154" i="14"/>
  <c r="O76" i="9" s="1"/>
  <c r="S83" i="14"/>
  <c r="I30" i="16"/>
  <c r="I34" i="16" s="1"/>
  <c r="M4" i="5" s="1"/>
  <c r="M8" i="5" s="1"/>
  <c r="W29" i="14"/>
  <c r="V37" i="14"/>
  <c r="V36" i="14"/>
  <c r="T101" i="14"/>
  <c r="T123" i="14"/>
  <c r="T148" i="14"/>
  <c r="O72" i="14"/>
  <c r="N47" i="14"/>
  <c r="N45" i="14"/>
  <c r="O57" i="14"/>
  <c r="N43" i="14"/>
  <c r="N44" i="14"/>
  <c r="N46" i="14"/>
  <c r="N29" i="16"/>
  <c r="N33" i="16" s="1"/>
  <c r="R3" i="5" s="1"/>
  <c r="E27" i="18"/>
  <c r="E30" i="18"/>
  <c r="V102" i="14"/>
  <c r="V104" i="14" s="1"/>
  <c r="T217" i="14" s="1"/>
  <c r="U77" i="14"/>
  <c r="Q5" i="16" s="1"/>
  <c r="Q26" i="16" s="1"/>
  <c r="N152" i="14"/>
  <c r="F148" i="18"/>
  <c r="H86" i="9"/>
  <c r="L143" i="18"/>
  <c r="C65" i="18"/>
  <c r="N36" i="19"/>
  <c r="Q42" i="19"/>
  <c r="L152" i="18" s="1"/>
  <c r="D169" i="18" s="1"/>
  <c r="N38" i="12"/>
  <c r="G65" i="18"/>
  <c r="D26" i="18"/>
  <c r="D29" i="18"/>
  <c r="C35" i="18"/>
  <c r="C34" i="18"/>
  <c r="S190" i="14"/>
  <c r="S191" i="14" s="1"/>
  <c r="O32" i="19"/>
  <c r="R41" i="19" s="1"/>
  <c r="I29" i="16"/>
  <c r="I33" i="16" s="1"/>
  <c r="M3" i="5" s="1"/>
  <c r="M7" i="5" s="1"/>
  <c r="S154" i="14"/>
  <c r="N76" i="9" s="1"/>
  <c r="R83" i="14"/>
  <c r="M130" i="14"/>
  <c r="H58" i="9" s="1"/>
  <c r="L82" i="14"/>
  <c r="H155" i="18"/>
  <c r="G2" i="18"/>
  <c r="G148" i="18"/>
  <c r="I86" i="9"/>
  <c r="R191" i="14"/>
  <c r="H146" i="18"/>
  <c r="L81" i="14"/>
  <c r="M106" i="14"/>
  <c r="H37" i="9" s="1"/>
  <c r="N146" i="18"/>
  <c r="R81" i="14"/>
  <c r="V38" i="14"/>
  <c r="W67" i="14"/>
  <c r="T47" i="14"/>
  <c r="U72" i="14"/>
  <c r="V124" i="14"/>
  <c r="V128" i="14" s="1"/>
  <c r="T218" i="14" s="1"/>
  <c r="U78" i="14"/>
  <c r="Q6" i="16" s="1"/>
  <c r="Q27" i="16" s="1"/>
  <c r="O95" i="14"/>
  <c r="O104" i="14" s="1"/>
  <c r="M217" i="14" s="1"/>
  <c r="O142" i="14"/>
  <c r="O152" i="14" s="1"/>
  <c r="O117" i="14"/>
  <c r="O128" i="14" s="1"/>
  <c r="J6" i="16"/>
  <c r="J27" i="16" s="1"/>
  <c r="J5" i="16"/>
  <c r="J26" i="16" s="1"/>
  <c r="J7" i="16"/>
  <c r="J28" i="16" s="1"/>
  <c r="N77" i="14"/>
  <c r="G4" i="18"/>
  <c r="I88" i="9"/>
  <c r="Y67" i="14"/>
  <c r="P306" i="14"/>
  <c r="M154" i="18" s="1"/>
  <c r="Z67" i="14"/>
  <c r="D32" i="18"/>
  <c r="D31" i="18"/>
  <c r="V149" i="14"/>
  <c r="V152" i="14" s="1"/>
  <c r="U79" i="14"/>
  <c r="Q7" i="16" s="1"/>
  <c r="Q28" i="16" s="1"/>
  <c r="N128" i="14"/>
  <c r="O29" i="16"/>
  <c r="O33" i="16" s="1"/>
  <c r="S3" i="5" s="1"/>
  <c r="W38" i="14"/>
  <c r="X67" i="14"/>
  <c r="H76" i="9"/>
  <c r="S82" i="14"/>
  <c r="O155" i="18"/>
  <c r="R82" i="14"/>
  <c r="N155" i="18"/>
  <c r="R194" i="14"/>
  <c r="I87" i="9"/>
  <c r="U38" i="14"/>
  <c r="U39" i="14" s="1"/>
  <c r="V67" i="14"/>
  <c r="H35" i="16"/>
  <c r="L5" i="5" s="1"/>
  <c r="L9" i="5" s="1"/>
  <c r="C39" i="18"/>
  <c r="C8" i="18" s="1"/>
  <c r="I35" i="16"/>
  <c r="M5" i="5" s="1"/>
  <c r="E10" i="18"/>
  <c r="S81" i="14"/>
  <c r="O146" i="18"/>
  <c r="S194" i="14"/>
  <c r="Q306" i="14"/>
  <c r="N154" i="18" s="1"/>
  <c r="S129" i="14"/>
  <c r="S130" i="14" s="1"/>
  <c r="N58" i="9" s="1"/>
  <c r="Q265" i="14"/>
  <c r="N153" i="18" s="1"/>
  <c r="S176" i="14"/>
  <c r="R105" i="14"/>
  <c r="R106" i="14" s="1"/>
  <c r="M37" i="9" s="1"/>
  <c r="R173" i="14"/>
  <c r="P264" i="14"/>
  <c r="M144" i="18" s="1"/>
  <c r="C66" i="18"/>
  <c r="O35" i="16"/>
  <c r="S5" i="5" s="1"/>
  <c r="O34" i="16"/>
  <c r="S4" i="5" s="1"/>
  <c r="P30" i="16"/>
  <c r="G157" i="18" l="1"/>
  <c r="C36" i="18"/>
  <c r="C7" i="18" s="1"/>
  <c r="H60" i="9"/>
  <c r="H3" i="18" s="1"/>
  <c r="H3" i="22" s="1"/>
  <c r="S266" i="14"/>
  <c r="U181" i="14"/>
  <c r="V180" i="14"/>
  <c r="U153" i="14"/>
  <c r="U154" i="14" s="1"/>
  <c r="P76" i="9" s="1"/>
  <c r="Q305" i="14"/>
  <c r="N145" i="18" s="1"/>
  <c r="I59" i="9"/>
  <c r="K20" i="5"/>
  <c r="I156" i="18" s="1"/>
  <c r="M15" i="5"/>
  <c r="I38" i="9"/>
  <c r="K19" i="5"/>
  <c r="I147" i="18" s="1"/>
  <c r="M14" i="5"/>
  <c r="U25" i="14"/>
  <c r="V74" i="14" s="1"/>
  <c r="U24" i="14"/>
  <c r="V73" i="14" s="1"/>
  <c r="U26" i="14"/>
  <c r="V75" i="14" s="1"/>
  <c r="U23" i="14"/>
  <c r="O154" i="14"/>
  <c r="J76" i="9" s="1"/>
  <c r="N83" i="14"/>
  <c r="C44" i="18"/>
  <c r="C51" i="18" s="1"/>
  <c r="P95" i="14"/>
  <c r="K7" i="16"/>
  <c r="K28" i="16" s="1"/>
  <c r="P142" i="14"/>
  <c r="K5" i="16"/>
  <c r="K26" i="16" s="1"/>
  <c r="P117" i="14"/>
  <c r="K6" i="16"/>
  <c r="K27" i="16" s="1"/>
  <c r="O77" i="14"/>
  <c r="C45" i="18"/>
  <c r="C52" i="18" s="1"/>
  <c r="N81" i="14"/>
  <c r="J146" i="18"/>
  <c r="O106" i="14"/>
  <c r="J37" i="9" s="1"/>
  <c r="E37" i="18"/>
  <c r="E38" i="18"/>
  <c r="X29" i="14"/>
  <c r="W36" i="14"/>
  <c r="W37" i="14"/>
  <c r="U307" i="14"/>
  <c r="W199" i="14"/>
  <c r="X198" i="14"/>
  <c r="E31" i="18"/>
  <c r="E32" i="18"/>
  <c r="H77" i="9"/>
  <c r="H78" i="9" s="1"/>
  <c r="M9" i="5"/>
  <c r="L16" i="5"/>
  <c r="J21" i="5"/>
  <c r="X99" i="14"/>
  <c r="X121" i="14"/>
  <c r="X146" i="14"/>
  <c r="Q155" i="18"/>
  <c r="U82" i="14"/>
  <c r="D34" i="18"/>
  <c r="D35" i="18"/>
  <c r="P101" i="14"/>
  <c r="P123" i="14"/>
  <c r="P148" i="14"/>
  <c r="R42" i="19"/>
  <c r="M152" i="18" s="1"/>
  <c r="O38" i="12"/>
  <c r="M82" i="14"/>
  <c r="I155" i="18"/>
  <c r="N130" i="14"/>
  <c r="AA99" i="14"/>
  <c r="AA121" i="14"/>
  <c r="AA146" i="14"/>
  <c r="V101" i="14"/>
  <c r="V123" i="14"/>
  <c r="V148" i="14"/>
  <c r="T193" i="14"/>
  <c r="T194" i="14" s="1"/>
  <c r="P33" i="12"/>
  <c r="E26" i="18"/>
  <c r="E29" i="18"/>
  <c r="E11" i="18"/>
  <c r="Y99" i="14"/>
  <c r="Y121" i="14"/>
  <c r="Y146" i="14"/>
  <c r="Z99" i="14"/>
  <c r="Z121" i="14"/>
  <c r="Z146" i="14"/>
  <c r="J29" i="16"/>
  <c r="J33" i="16" s="1"/>
  <c r="N3" i="5" s="1"/>
  <c r="N7" i="5" s="1"/>
  <c r="N154" i="14"/>
  <c r="I76" i="9" s="1"/>
  <c r="M83" i="14"/>
  <c r="D39" i="18"/>
  <c r="D8" i="18" s="1"/>
  <c r="I37" i="9"/>
  <c r="I41" i="9" s="1"/>
  <c r="W99" i="14"/>
  <c r="W121" i="14"/>
  <c r="W146" i="14"/>
  <c r="U83" i="14"/>
  <c r="J30" i="16"/>
  <c r="J35" i="16" s="1"/>
  <c r="N5" i="5" s="1"/>
  <c r="H41" i="9"/>
  <c r="M143" i="18"/>
  <c r="O36" i="19"/>
  <c r="Q29" i="16"/>
  <c r="Q33" i="16" s="1"/>
  <c r="F12" i="18"/>
  <c r="F30" i="18"/>
  <c r="G23" i="18"/>
  <c r="G12" i="18" s="1"/>
  <c r="F27" i="18"/>
  <c r="D33" i="18"/>
  <c r="D6" i="18" s="1"/>
  <c r="J155" i="18"/>
  <c r="N82" i="14"/>
  <c r="O130" i="14"/>
  <c r="J58" i="9" s="1"/>
  <c r="T190" i="14"/>
  <c r="P32" i="19"/>
  <c r="S41" i="19" s="1"/>
  <c r="Q146" i="18"/>
  <c r="U81" i="14"/>
  <c r="V39" i="14"/>
  <c r="F10" i="18"/>
  <c r="F22" i="18"/>
  <c r="F28" i="18"/>
  <c r="F25" i="18"/>
  <c r="G21" i="18"/>
  <c r="R305" i="14"/>
  <c r="O145" i="18" s="1"/>
  <c r="T129" i="14"/>
  <c r="T130" i="14" s="1"/>
  <c r="O58" i="9" s="1"/>
  <c r="T176" i="14"/>
  <c r="R265" i="14"/>
  <c r="O153" i="18" s="1"/>
  <c r="S105" i="14"/>
  <c r="S106" i="14" s="1"/>
  <c r="N37" i="9" s="1"/>
  <c r="Q264" i="14"/>
  <c r="N144" i="18" s="1"/>
  <c r="S173" i="14"/>
  <c r="Q30" i="16"/>
  <c r="P34" i="16"/>
  <c r="T4" i="5" s="1"/>
  <c r="P35" i="16"/>
  <c r="T5" i="5" s="1"/>
  <c r="T3" i="5"/>
  <c r="J87" i="9" l="1"/>
  <c r="T266" i="14"/>
  <c r="V181" i="14"/>
  <c r="W180" i="14"/>
  <c r="V153" i="14"/>
  <c r="V154" i="14" s="1"/>
  <c r="Q76" i="9" s="1"/>
  <c r="J34" i="16"/>
  <c r="N4" i="5" s="1"/>
  <c r="N8" i="5" s="1"/>
  <c r="L20" i="5" s="1"/>
  <c r="J156" i="18" s="1"/>
  <c r="H157" i="18"/>
  <c r="E33" i="18"/>
  <c r="E6" i="18" s="1"/>
  <c r="E39" i="18"/>
  <c r="E8" i="18" s="1"/>
  <c r="I148" i="18"/>
  <c r="K86" i="9"/>
  <c r="I2" i="18"/>
  <c r="J38" i="9"/>
  <c r="J41" i="9" s="1"/>
  <c r="N14" i="5"/>
  <c r="L19" i="5"/>
  <c r="J147" i="18" s="1"/>
  <c r="R306" i="14"/>
  <c r="O154" i="18" s="1"/>
  <c r="P128" i="14"/>
  <c r="I58" i="9"/>
  <c r="I60" i="9" s="1"/>
  <c r="I3" i="18"/>
  <c r="I3" i="22" s="1"/>
  <c r="K30" i="16"/>
  <c r="K35" i="16" s="1"/>
  <c r="O5" i="5" s="1"/>
  <c r="K34" i="16"/>
  <c r="O4" i="5" s="1"/>
  <c r="F26" i="18"/>
  <c r="F29" i="18"/>
  <c r="F11" i="18"/>
  <c r="D45" i="18"/>
  <c r="P152" i="14"/>
  <c r="U47" i="14"/>
  <c r="V72" i="14"/>
  <c r="U46" i="14"/>
  <c r="U43" i="14"/>
  <c r="U45" i="14"/>
  <c r="U44" i="14"/>
  <c r="N143" i="18"/>
  <c r="P36" i="19"/>
  <c r="U190" i="14"/>
  <c r="S305" i="14" s="1"/>
  <c r="P145" i="18" s="1"/>
  <c r="Q32" i="19"/>
  <c r="T41" i="19" s="1"/>
  <c r="V307" i="14"/>
  <c r="X199" i="14"/>
  <c r="Y198" i="14"/>
  <c r="E34" i="18"/>
  <c r="E35" i="18"/>
  <c r="V25" i="14"/>
  <c r="W74" i="14" s="1"/>
  <c r="V26" i="14"/>
  <c r="W75" i="14" s="1"/>
  <c r="V24" i="14"/>
  <c r="W73" i="14" s="1"/>
  <c r="V23" i="14"/>
  <c r="D43" i="18"/>
  <c r="D36" i="18"/>
  <c r="D7" i="18" s="1"/>
  <c r="D44" i="18" s="1"/>
  <c r="I77" i="9"/>
  <c r="I78" i="9" s="1"/>
  <c r="M16" i="5"/>
  <c r="N9" i="5"/>
  <c r="K21" i="5"/>
  <c r="V79" i="14"/>
  <c r="R7" i="16" s="1"/>
  <c r="R28" i="16" s="1"/>
  <c r="W149" i="14"/>
  <c r="W152" i="14" s="1"/>
  <c r="G28" i="18"/>
  <c r="G22" i="18"/>
  <c r="G25" i="18"/>
  <c r="G10" i="18"/>
  <c r="F37" i="18"/>
  <c r="F38" i="18"/>
  <c r="J88" i="9"/>
  <c r="H4" i="18"/>
  <c r="W39" i="14"/>
  <c r="P104" i="14"/>
  <c r="N217" i="14" s="1"/>
  <c r="W102" i="14"/>
  <c r="W104" i="14" s="1"/>
  <c r="U217" i="14" s="1"/>
  <c r="V77" i="14"/>
  <c r="R5" i="16" s="1"/>
  <c r="R26" i="16" s="1"/>
  <c r="U193" i="14"/>
  <c r="Q33" i="12"/>
  <c r="F31" i="18"/>
  <c r="F32" i="18"/>
  <c r="K29" i="16"/>
  <c r="K33" i="16" s="1"/>
  <c r="O3" i="5" s="1"/>
  <c r="O7" i="5" s="1"/>
  <c r="T191" i="14"/>
  <c r="G30" i="18"/>
  <c r="G27" i="18"/>
  <c r="H2" i="18"/>
  <c r="H148" i="18"/>
  <c r="J86" i="9"/>
  <c r="S42" i="19"/>
  <c r="N152" i="18" s="1"/>
  <c r="P38" i="12"/>
  <c r="W124" i="14"/>
  <c r="W128" i="14" s="1"/>
  <c r="U218" i="14" s="1"/>
  <c r="V78" i="14"/>
  <c r="R6" i="16" s="1"/>
  <c r="R27" i="16" s="1"/>
  <c r="R30" i="16" s="1"/>
  <c r="Y29" i="14"/>
  <c r="X37" i="14"/>
  <c r="X36" i="14"/>
  <c r="X38" i="14"/>
  <c r="S306" i="14"/>
  <c r="P154" i="18" s="1"/>
  <c r="U194" i="14"/>
  <c r="U129" i="14"/>
  <c r="U130" i="14" s="1"/>
  <c r="P58" i="9" s="1"/>
  <c r="S265" i="14"/>
  <c r="P153" i="18" s="1"/>
  <c r="U176" i="14"/>
  <c r="T105" i="14"/>
  <c r="T106" i="14" s="1"/>
  <c r="O37" i="9" s="1"/>
  <c r="T173" i="14"/>
  <c r="R264" i="14"/>
  <c r="O144" i="18" s="1"/>
  <c r="Q35" i="16"/>
  <c r="U5" i="5" s="1"/>
  <c r="Q34" i="16"/>
  <c r="U4" i="5" s="1"/>
  <c r="U3" i="5"/>
  <c r="J59" i="9" l="1"/>
  <c r="J60" i="9" s="1"/>
  <c r="O8" i="5"/>
  <c r="E45" i="18"/>
  <c r="E52" i="18" s="1"/>
  <c r="D52" i="18"/>
  <c r="E43" i="18"/>
  <c r="E50" i="18" s="1"/>
  <c r="X180" i="14"/>
  <c r="U266" i="14"/>
  <c r="W181" i="14"/>
  <c r="W153" i="14"/>
  <c r="N15" i="5"/>
  <c r="D50" i="18"/>
  <c r="E36" i="18"/>
  <c r="E7" i="18" s="1"/>
  <c r="P8" i="5"/>
  <c r="K59" i="9"/>
  <c r="O15" i="5"/>
  <c r="M20" i="5"/>
  <c r="K156" i="18" s="1"/>
  <c r="J3" i="18"/>
  <c r="J3" i="22" s="1"/>
  <c r="J157" i="18"/>
  <c r="L87" i="9"/>
  <c r="P7" i="5"/>
  <c r="K38" i="9"/>
  <c r="O14" i="5"/>
  <c r="M19" i="5"/>
  <c r="K147" i="18" s="1"/>
  <c r="W24" i="14"/>
  <c r="X73" i="14" s="1"/>
  <c r="W25" i="14"/>
  <c r="X74" i="14" s="1"/>
  <c r="W26" i="14"/>
  <c r="X75" i="14" s="1"/>
  <c r="W23" i="14"/>
  <c r="H23" i="18"/>
  <c r="W101" i="14"/>
  <c r="W123" i="14"/>
  <c r="W148" i="14"/>
  <c r="F39" i="18"/>
  <c r="F8" i="18" s="1"/>
  <c r="V47" i="14"/>
  <c r="W72" i="14"/>
  <c r="V44" i="14"/>
  <c r="V45" i="14"/>
  <c r="V43" i="14"/>
  <c r="V46" i="14"/>
  <c r="P154" i="14"/>
  <c r="K76" i="9" s="1"/>
  <c r="O83" i="14"/>
  <c r="U191" i="14"/>
  <c r="F33" i="18"/>
  <c r="F6" i="18" s="1"/>
  <c r="X102" i="14"/>
  <c r="X104" i="14" s="1"/>
  <c r="V217" i="14" s="1"/>
  <c r="W77" i="14"/>
  <c r="S5" i="16" s="1"/>
  <c r="S26" i="16" s="1"/>
  <c r="T42" i="19"/>
  <c r="O152" i="18" s="1"/>
  <c r="Q38" i="12"/>
  <c r="H21" i="18"/>
  <c r="H10" i="18" s="1"/>
  <c r="L21" i="5"/>
  <c r="J77" i="9"/>
  <c r="J78" i="9" s="1"/>
  <c r="N16" i="5"/>
  <c r="O9" i="5"/>
  <c r="X149" i="14"/>
  <c r="X152" i="14" s="1"/>
  <c r="W79" i="14"/>
  <c r="S7" i="16" s="1"/>
  <c r="S28" i="16" s="1"/>
  <c r="K155" i="18"/>
  <c r="O82" i="14"/>
  <c r="P130" i="14"/>
  <c r="K146" i="18"/>
  <c r="O81" i="14"/>
  <c r="P106" i="14"/>
  <c r="K37" i="9" s="1"/>
  <c r="Z198" i="14"/>
  <c r="W307" i="14"/>
  <c r="Y199" i="14"/>
  <c r="I157" i="18"/>
  <c r="K87" i="9"/>
  <c r="Y36" i="14"/>
  <c r="Y37" i="14"/>
  <c r="Y38" i="14"/>
  <c r="G38" i="18"/>
  <c r="G37" i="18"/>
  <c r="V193" i="14"/>
  <c r="R33" i="12"/>
  <c r="G31" i="18"/>
  <c r="G32" i="18"/>
  <c r="X124" i="14"/>
  <c r="X128" i="14" s="1"/>
  <c r="V218" i="14" s="1"/>
  <c r="W78" i="14"/>
  <c r="S6" i="16" s="1"/>
  <c r="S27" i="16" s="1"/>
  <c r="D51" i="18"/>
  <c r="E44" i="18"/>
  <c r="W154" i="14"/>
  <c r="R76" i="9" s="1"/>
  <c r="V83" i="14"/>
  <c r="V190" i="14"/>
  <c r="R32" i="19"/>
  <c r="U41" i="19" s="1"/>
  <c r="X39" i="14"/>
  <c r="R29" i="16"/>
  <c r="R33" i="16" s="1"/>
  <c r="V3" i="5" s="1"/>
  <c r="G26" i="18"/>
  <c r="G29" i="18"/>
  <c r="G11" i="18"/>
  <c r="I4" i="18"/>
  <c r="K88" i="9"/>
  <c r="J2" i="18"/>
  <c r="J148" i="18"/>
  <c r="L86" i="9"/>
  <c r="V82" i="14"/>
  <c r="R155" i="18"/>
  <c r="R146" i="18"/>
  <c r="V81" i="14"/>
  <c r="O143" i="18"/>
  <c r="Q36" i="19"/>
  <c r="F35" i="18"/>
  <c r="F34" i="18"/>
  <c r="V194" i="14"/>
  <c r="T306" i="14"/>
  <c r="Q154" i="18" s="1"/>
  <c r="T305" i="14"/>
  <c r="Q145" i="18" s="1"/>
  <c r="V191" i="14"/>
  <c r="V129" i="14"/>
  <c r="V130" i="14" s="1"/>
  <c r="Q58" i="9" s="1"/>
  <c r="T265" i="14"/>
  <c r="Q153" i="18" s="1"/>
  <c r="V176" i="14"/>
  <c r="U105" i="14"/>
  <c r="U106" i="14" s="1"/>
  <c r="P37" i="9" s="1"/>
  <c r="U173" i="14"/>
  <c r="S264" i="14"/>
  <c r="P144" i="18" s="1"/>
  <c r="R35" i="16"/>
  <c r="V5" i="5" s="1"/>
  <c r="R34" i="16"/>
  <c r="V4" i="5" s="1"/>
  <c r="S30" i="16"/>
  <c r="G39" i="18" l="1"/>
  <c r="G8" i="18" s="1"/>
  <c r="F36" i="18"/>
  <c r="F7" i="18" s="1"/>
  <c r="F44" i="18" s="1"/>
  <c r="F43" i="18"/>
  <c r="F50" i="18" s="1"/>
  <c r="Y180" i="14"/>
  <c r="X181" i="14"/>
  <c r="V266" i="14"/>
  <c r="X153" i="14"/>
  <c r="K41" i="9"/>
  <c r="K2" i="18" s="1"/>
  <c r="G33" i="18"/>
  <c r="G6" i="18" s="1"/>
  <c r="P143" i="18"/>
  <c r="R36" i="19"/>
  <c r="W190" i="14"/>
  <c r="S32" i="19"/>
  <c r="V41" i="19" s="1"/>
  <c r="Y39" i="14"/>
  <c r="X307" i="14"/>
  <c r="Z199" i="14"/>
  <c r="AA198" i="14"/>
  <c r="F45" i="18"/>
  <c r="G45" i="18" s="1"/>
  <c r="G52" i="18" s="1"/>
  <c r="Y124" i="14"/>
  <c r="Y128" i="14" s="1"/>
  <c r="W218" i="14" s="1"/>
  <c r="X78" i="14"/>
  <c r="T6" i="16" s="1"/>
  <c r="T27" i="16" s="1"/>
  <c r="H30" i="18"/>
  <c r="H27" i="18"/>
  <c r="I23" i="18"/>
  <c r="X101" i="14"/>
  <c r="X123" i="14"/>
  <c r="X148" i="14"/>
  <c r="Y102" i="14"/>
  <c r="Y104" i="14" s="1"/>
  <c r="W217" i="14" s="1"/>
  <c r="X77" i="14"/>
  <c r="T5" i="16" s="1"/>
  <c r="T26" i="16" s="1"/>
  <c r="X25" i="14"/>
  <c r="Y74" i="14" s="1"/>
  <c r="X26" i="14"/>
  <c r="Y75" i="14" s="1"/>
  <c r="X24" i="14"/>
  <c r="Y73" i="14" s="1"/>
  <c r="X23" i="14"/>
  <c r="X79" i="14"/>
  <c r="T7" i="16" s="1"/>
  <c r="T28" i="16" s="1"/>
  <c r="Y149" i="14"/>
  <c r="Y152" i="14" s="1"/>
  <c r="U42" i="19"/>
  <c r="P152" i="18" s="1"/>
  <c r="R38" i="12"/>
  <c r="X154" i="14"/>
  <c r="S76" i="9" s="1"/>
  <c r="W83" i="14"/>
  <c r="E51" i="18"/>
  <c r="J4" i="18"/>
  <c r="L88" i="9"/>
  <c r="Q7" i="5"/>
  <c r="L38" i="9"/>
  <c r="L41" i="9" s="1"/>
  <c r="L2" i="18" s="1"/>
  <c r="C67" i="18"/>
  <c r="P14" i="5"/>
  <c r="N19" i="5"/>
  <c r="L147" i="18" s="1"/>
  <c r="K58" i="9"/>
  <c r="K60" i="9" s="1"/>
  <c r="K3" i="18" s="1"/>
  <c r="K3" i="22" s="1"/>
  <c r="W47" i="14"/>
  <c r="X72" i="14"/>
  <c r="W46" i="14"/>
  <c r="W44" i="14"/>
  <c r="W45" i="14"/>
  <c r="W43" i="14"/>
  <c r="W82" i="14"/>
  <c r="S155" i="18"/>
  <c r="H25" i="18"/>
  <c r="H22" i="18"/>
  <c r="H28" i="18"/>
  <c r="I21" i="18"/>
  <c r="G35" i="18"/>
  <c r="G34" i="18"/>
  <c r="G36" i="18" s="1"/>
  <c r="G7" i="18" s="1"/>
  <c r="W193" i="14"/>
  <c r="S33" i="12"/>
  <c r="P9" i="5"/>
  <c r="K77" i="9"/>
  <c r="K78" i="9" s="1"/>
  <c r="O16" i="5"/>
  <c r="M21" i="5"/>
  <c r="S29" i="16"/>
  <c r="S33" i="16" s="1"/>
  <c r="W3" i="5" s="1"/>
  <c r="S146" i="18"/>
  <c r="W81" i="14"/>
  <c r="H12" i="18"/>
  <c r="Q8" i="5"/>
  <c r="L59" i="9"/>
  <c r="L60" i="9" s="1"/>
  <c r="L3" i="18" s="1"/>
  <c r="L3" i="22" s="1"/>
  <c r="P15" i="5"/>
  <c r="N20" i="5"/>
  <c r="L156" i="18" s="1"/>
  <c r="D172" i="18" s="1"/>
  <c r="G67" i="18"/>
  <c r="W129" i="14"/>
  <c r="W130" i="14" s="1"/>
  <c r="R58" i="9" s="1"/>
  <c r="U265" i="14"/>
  <c r="R153" i="18" s="1"/>
  <c r="W176" i="14"/>
  <c r="V105" i="14"/>
  <c r="V106" i="14" s="1"/>
  <c r="Q37" i="9" s="1"/>
  <c r="T264" i="14"/>
  <c r="Q144" i="18" s="1"/>
  <c r="V173" i="14"/>
  <c r="T30" i="16"/>
  <c r="S35" i="16"/>
  <c r="W5" i="5" s="1"/>
  <c r="S34" i="16"/>
  <c r="W4" i="5" s="1"/>
  <c r="G43" i="18" l="1"/>
  <c r="G50" i="18" s="1"/>
  <c r="K148" i="18"/>
  <c r="M86" i="9"/>
  <c r="F52" i="18"/>
  <c r="Z180" i="14"/>
  <c r="Y181" i="14"/>
  <c r="W266" i="14"/>
  <c r="Y153" i="14"/>
  <c r="Z102" i="14"/>
  <c r="Z104" i="14" s="1"/>
  <c r="X217" i="14" s="1"/>
  <c r="Y77" i="14"/>
  <c r="U5" i="16" s="1"/>
  <c r="U26" i="16" s="1"/>
  <c r="Y101" i="14"/>
  <c r="Y123" i="14"/>
  <c r="Y148" i="14"/>
  <c r="X190" i="14"/>
  <c r="T32" i="19"/>
  <c r="W41" i="19" s="1"/>
  <c r="Z124" i="14"/>
  <c r="Z128" i="14" s="1"/>
  <c r="X218" i="14" s="1"/>
  <c r="Y78" i="14"/>
  <c r="U6" i="16" s="1"/>
  <c r="U27" i="16" s="1"/>
  <c r="U30" i="16" s="1"/>
  <c r="V42" i="19"/>
  <c r="Q152" i="18" s="1"/>
  <c r="S38" i="12"/>
  <c r="I12" i="18"/>
  <c r="I27" i="18"/>
  <c r="J23" i="18"/>
  <c r="J12" i="18" s="1"/>
  <c r="I30" i="18"/>
  <c r="Z149" i="14"/>
  <c r="Z152" i="14" s="1"/>
  <c r="Y79" i="14"/>
  <c r="U7" i="16" s="1"/>
  <c r="U28" i="16" s="1"/>
  <c r="R7" i="5"/>
  <c r="M38" i="9"/>
  <c r="M41" i="9" s="1"/>
  <c r="Q14" i="5"/>
  <c r="O19" i="5"/>
  <c r="M147" i="18" s="1"/>
  <c r="W191" i="14"/>
  <c r="X193" i="14"/>
  <c r="T33" i="12"/>
  <c r="K157" i="18"/>
  <c r="M87" i="9"/>
  <c r="H38" i="18"/>
  <c r="H37" i="18"/>
  <c r="Y307" i="14"/>
  <c r="AA199" i="14"/>
  <c r="H26" i="18"/>
  <c r="H29" i="18"/>
  <c r="H11" i="18"/>
  <c r="U305" i="14"/>
  <c r="R145" i="18" s="1"/>
  <c r="G68" i="18"/>
  <c r="G69" i="18" s="1"/>
  <c r="L157" i="18"/>
  <c r="D173" i="18" s="1"/>
  <c r="N87" i="9"/>
  <c r="Y154" i="14"/>
  <c r="T76" i="9" s="1"/>
  <c r="X83" i="14"/>
  <c r="T29" i="16"/>
  <c r="T33" i="16" s="1"/>
  <c r="X3" i="5" s="1"/>
  <c r="S36" i="19"/>
  <c r="Q143" i="18"/>
  <c r="L148" i="18"/>
  <c r="C68" i="18"/>
  <c r="N86" i="9"/>
  <c r="H31" i="18"/>
  <c r="H32" i="18"/>
  <c r="W194" i="14"/>
  <c r="R8" i="5"/>
  <c r="M59" i="9"/>
  <c r="M60" i="9" s="1"/>
  <c r="M3" i="18" s="1"/>
  <c r="M3" i="22" s="1"/>
  <c r="Q15" i="5"/>
  <c r="O20" i="5"/>
  <c r="M156" i="18" s="1"/>
  <c r="K4" i="18"/>
  <c r="M88" i="9"/>
  <c r="F51" i="18"/>
  <c r="G44" i="18"/>
  <c r="X81" i="14"/>
  <c r="T146" i="18"/>
  <c r="X82" i="14"/>
  <c r="T155" i="18"/>
  <c r="U306" i="14"/>
  <c r="R154" i="18" s="1"/>
  <c r="L77" i="9"/>
  <c r="L78" i="9" s="1"/>
  <c r="Q9" i="5"/>
  <c r="N21" i="5"/>
  <c r="P16" i="5"/>
  <c r="I25" i="18"/>
  <c r="J21" i="18"/>
  <c r="I22" i="18"/>
  <c r="I28" i="18"/>
  <c r="I10" i="18"/>
  <c r="Y72" i="14"/>
  <c r="X47" i="14"/>
  <c r="X46" i="14"/>
  <c r="X43" i="14"/>
  <c r="X45" i="14"/>
  <c r="X44" i="14"/>
  <c r="Y26" i="14"/>
  <c r="Z75" i="14" s="1"/>
  <c r="Y25" i="14"/>
  <c r="Z74" i="14" s="1"/>
  <c r="Y24" i="14"/>
  <c r="Z73" i="14" s="1"/>
  <c r="Y23" i="14"/>
  <c r="X194" i="14"/>
  <c r="V306" i="14"/>
  <c r="S154" i="18" s="1"/>
  <c r="V305" i="14"/>
  <c r="S145" i="18" s="1"/>
  <c r="X191" i="14"/>
  <c r="X129" i="14"/>
  <c r="X130" i="14" s="1"/>
  <c r="S58" i="9" s="1"/>
  <c r="V265" i="14"/>
  <c r="S153" i="18" s="1"/>
  <c r="X176" i="14"/>
  <c r="W105" i="14"/>
  <c r="W106" i="14" s="1"/>
  <c r="R37" i="9" s="1"/>
  <c r="U264" i="14"/>
  <c r="R144" i="18" s="1"/>
  <c r="W173" i="14"/>
  <c r="T34" i="16"/>
  <c r="X4" i="5" s="1"/>
  <c r="T35" i="16"/>
  <c r="X5" i="5" s="1"/>
  <c r="H39" i="18" l="1"/>
  <c r="H8" i="18" s="1"/>
  <c r="X266" i="14"/>
  <c r="AA180" i="14"/>
  <c r="Z181" i="14"/>
  <c r="Z153" i="14"/>
  <c r="M2" i="18"/>
  <c r="M148" i="18"/>
  <c r="O86" i="9"/>
  <c r="Y193" i="14"/>
  <c r="Y194" i="14" s="1"/>
  <c r="U33" i="12"/>
  <c r="Y81" i="14"/>
  <c r="U146" i="18"/>
  <c r="M77" i="9"/>
  <c r="M78" i="9" s="1"/>
  <c r="R9" i="5"/>
  <c r="O21" i="5"/>
  <c r="Q16" i="5"/>
  <c r="L4" i="18"/>
  <c r="N88" i="9"/>
  <c r="H68" i="18"/>
  <c r="H66" i="18"/>
  <c r="H65" i="18"/>
  <c r="K21" i="18"/>
  <c r="J22" i="18"/>
  <c r="J28" i="18"/>
  <c r="J25" i="18"/>
  <c r="J10" i="18"/>
  <c r="I32" i="18"/>
  <c r="I31" i="18"/>
  <c r="C69" i="18"/>
  <c r="D68" i="18" s="1"/>
  <c r="H67" i="18"/>
  <c r="R143" i="18"/>
  <c r="T36" i="19"/>
  <c r="AA124" i="14"/>
  <c r="AA128" i="14" s="1"/>
  <c r="Y218" i="14" s="1"/>
  <c r="Z78" i="14"/>
  <c r="V6" i="16" s="1"/>
  <c r="V27" i="16" s="1"/>
  <c r="V30" i="16" s="1"/>
  <c r="AB78" i="14"/>
  <c r="AD78" i="14" s="1"/>
  <c r="S8" i="5"/>
  <c r="N59" i="9"/>
  <c r="N60" i="9" s="1"/>
  <c r="R15" i="5"/>
  <c r="P20" i="5"/>
  <c r="N156" i="18" s="1"/>
  <c r="H34" i="18"/>
  <c r="H35" i="18"/>
  <c r="Z79" i="14"/>
  <c r="V7" i="16" s="1"/>
  <c r="V28" i="16" s="1"/>
  <c r="AA149" i="14"/>
  <c r="AA152" i="14" s="1"/>
  <c r="AB79" i="14"/>
  <c r="S7" i="5"/>
  <c r="N38" i="9"/>
  <c r="N41" i="9" s="1"/>
  <c r="R14" i="5"/>
  <c r="P19" i="5"/>
  <c r="N147" i="18" s="1"/>
  <c r="I26" i="18"/>
  <c r="I29" i="18"/>
  <c r="I11" i="18"/>
  <c r="W42" i="19"/>
  <c r="R152" i="18" s="1"/>
  <c r="T38" i="12"/>
  <c r="Y82" i="14"/>
  <c r="U155" i="18"/>
  <c r="Y47" i="14"/>
  <c r="Z72" i="14"/>
  <c r="Y46" i="14"/>
  <c r="Y45" i="14"/>
  <c r="Y44" i="14"/>
  <c r="Y43" i="14"/>
  <c r="H45" i="18"/>
  <c r="H52" i="18" s="1"/>
  <c r="K23" i="18"/>
  <c r="K12" i="18" s="1"/>
  <c r="J27" i="18"/>
  <c r="J30" i="18"/>
  <c r="Y190" i="14"/>
  <c r="U32" i="19"/>
  <c r="X41" i="19" s="1"/>
  <c r="U29" i="16"/>
  <c r="U33" i="16" s="1"/>
  <c r="Y3" i="5" s="1"/>
  <c r="H33" i="18"/>
  <c r="H6" i="18" s="1"/>
  <c r="Y83" i="14"/>
  <c r="Z154" i="14"/>
  <c r="U76" i="9" s="1"/>
  <c r="Z77" i="14"/>
  <c r="AB77" i="14"/>
  <c r="AD77" i="14" s="1"/>
  <c r="Z101" i="14"/>
  <c r="Z123" i="14"/>
  <c r="Z148" i="14"/>
  <c r="G51" i="18"/>
  <c r="M157" i="18"/>
  <c r="O87" i="9"/>
  <c r="I38" i="18"/>
  <c r="I37" i="18"/>
  <c r="W305" i="14"/>
  <c r="T145" i="18" s="1"/>
  <c r="Y191" i="14"/>
  <c r="Y129" i="14"/>
  <c r="Y130" i="14" s="1"/>
  <c r="T58" i="9" s="1"/>
  <c r="Y176" i="14"/>
  <c r="W265" i="14"/>
  <c r="T153" i="18" s="1"/>
  <c r="X105" i="14"/>
  <c r="X106" i="14" s="1"/>
  <c r="S37" i="9" s="1"/>
  <c r="X173" i="14"/>
  <c r="V264" i="14"/>
  <c r="S144" i="18" s="1"/>
  <c r="U34" i="16"/>
  <c r="Y4" i="5" s="1"/>
  <c r="U35" i="16"/>
  <c r="Y5" i="5" s="1"/>
  <c r="V35" i="16" l="1"/>
  <c r="Z5" i="5" s="1"/>
  <c r="Y266" i="14"/>
  <c r="AA181" i="14"/>
  <c r="AA153" i="14"/>
  <c r="V34" i="16"/>
  <c r="Z4" i="5" s="1"/>
  <c r="I33" i="18"/>
  <c r="I6" i="18" s="1"/>
  <c r="Z190" i="14"/>
  <c r="V32" i="19"/>
  <c r="Y41" i="19" s="1"/>
  <c r="T7" i="5"/>
  <c r="O38" i="9"/>
  <c r="O41" i="9" s="1"/>
  <c r="S14" i="5"/>
  <c r="Q19" i="5"/>
  <c r="O147" i="18" s="1"/>
  <c r="Z193" i="14"/>
  <c r="Z194" i="14" s="1"/>
  <c r="V33" i="12"/>
  <c r="W306" i="14"/>
  <c r="T154" i="18" s="1"/>
  <c r="F28" i="21"/>
  <c r="AD79" i="14"/>
  <c r="T8" i="5"/>
  <c r="O59" i="9"/>
  <c r="O60" i="9" s="1"/>
  <c r="Q20" i="5"/>
  <c r="O156" i="18" s="1"/>
  <c r="S15" i="5"/>
  <c r="L21" i="18"/>
  <c r="K25" i="18"/>
  <c r="K28" i="18"/>
  <c r="K10" i="18"/>
  <c r="U36" i="19"/>
  <c r="S143" i="18"/>
  <c r="N2" i="18"/>
  <c r="P86" i="9"/>
  <c r="N148" i="18"/>
  <c r="X42" i="19"/>
  <c r="S152" i="18" s="1"/>
  <c r="U38" i="12"/>
  <c r="K22" i="18"/>
  <c r="J26" i="18"/>
  <c r="J29" i="18"/>
  <c r="J11" i="18"/>
  <c r="J38" i="18"/>
  <c r="J37" i="18"/>
  <c r="AA101" i="14"/>
  <c r="AA123" i="14"/>
  <c r="AA148" i="14"/>
  <c r="AA154" i="14"/>
  <c r="Z83" i="14"/>
  <c r="D65" i="18"/>
  <c r="D66" i="18"/>
  <c r="D67" i="18"/>
  <c r="H43" i="18"/>
  <c r="I43" i="18" s="1"/>
  <c r="I50" i="18" s="1"/>
  <c r="I35" i="18"/>
  <c r="I34" i="18"/>
  <c r="V155" i="18"/>
  <c r="D180" i="18" s="1"/>
  <c r="Z82" i="14"/>
  <c r="M4" i="18"/>
  <c r="O88" i="9"/>
  <c r="J32" i="18"/>
  <c r="J31" i="18"/>
  <c r="V5" i="16"/>
  <c r="V26" i="16" s="1"/>
  <c r="AB76" i="14"/>
  <c r="AA113" i="14"/>
  <c r="AA114" i="14" s="1"/>
  <c r="AB102" i="14"/>
  <c r="AA104" i="14"/>
  <c r="Y217" i="14" s="1"/>
  <c r="N3" i="18"/>
  <c r="N3" i="22" s="1"/>
  <c r="N157" i="18"/>
  <c r="P87" i="9"/>
  <c r="L23" i="18"/>
  <c r="L12" i="18" s="1"/>
  <c r="K27" i="18"/>
  <c r="K30" i="18"/>
  <c r="R16" i="5"/>
  <c r="S9" i="5"/>
  <c r="P21" i="5"/>
  <c r="N77" i="9"/>
  <c r="N78" i="9" s="1"/>
  <c r="I39" i="18"/>
  <c r="I8" i="18" s="1"/>
  <c r="I45" i="18" s="1"/>
  <c r="H36" i="18"/>
  <c r="H7" i="18" s="1"/>
  <c r="X306" i="14"/>
  <c r="U154" i="18" s="1"/>
  <c r="X305" i="14"/>
  <c r="U145" i="18" s="1"/>
  <c r="Z191" i="14"/>
  <c r="Z129" i="14"/>
  <c r="Z130" i="14" s="1"/>
  <c r="U58" i="9" s="1"/>
  <c r="X265" i="14"/>
  <c r="U153" i="18" s="1"/>
  <c r="Z176" i="14"/>
  <c r="Y105" i="14"/>
  <c r="Y106" i="14" s="1"/>
  <c r="Y173" i="14"/>
  <c r="W264" i="14"/>
  <c r="T144" i="18" s="1"/>
  <c r="J33" i="18" l="1"/>
  <c r="J6" i="18" s="1"/>
  <c r="J43" i="18" s="1"/>
  <c r="I36" i="18"/>
  <c r="I7" i="18" s="1"/>
  <c r="J39" i="18"/>
  <c r="J8" i="18" s="1"/>
  <c r="T37" i="9"/>
  <c r="V76" i="9"/>
  <c r="J35" i="18"/>
  <c r="J34" i="18"/>
  <c r="V146" i="18"/>
  <c r="Z81" i="14"/>
  <c r="K26" i="18"/>
  <c r="K29" i="18"/>
  <c r="K11" i="18"/>
  <c r="L22" i="18"/>
  <c r="O2" i="18"/>
  <c r="O148" i="18"/>
  <c r="Q86" i="9"/>
  <c r="K32" i="18"/>
  <c r="K31" i="18"/>
  <c r="V36" i="19"/>
  <c r="T143" i="18"/>
  <c r="I52" i="18"/>
  <c r="X33" i="12"/>
  <c r="W33" i="12"/>
  <c r="N4" i="18"/>
  <c r="P88" i="9"/>
  <c r="O3" i="18"/>
  <c r="O3" i="22" s="1"/>
  <c r="O157" i="18"/>
  <c r="Q87" i="9"/>
  <c r="S16" i="5"/>
  <c r="Q21" i="5"/>
  <c r="T9" i="5"/>
  <c r="O77" i="9"/>
  <c r="O78" i="9" s="1"/>
  <c r="H50" i="18"/>
  <c r="U8" i="5"/>
  <c r="P59" i="9"/>
  <c r="P60" i="9" s="1"/>
  <c r="P3" i="18" s="1"/>
  <c r="P3" i="22" s="1"/>
  <c r="T15" i="5"/>
  <c r="R20" i="5"/>
  <c r="P156" i="18" s="1"/>
  <c r="U7" i="5"/>
  <c r="P38" i="9"/>
  <c r="P41" i="9" s="1"/>
  <c r="R19" i="5"/>
  <c r="P147" i="18" s="1"/>
  <c r="T14" i="5"/>
  <c r="K37" i="18"/>
  <c r="K38" i="18"/>
  <c r="H44" i="18"/>
  <c r="M23" i="18"/>
  <c r="L30" i="18"/>
  <c r="L27" i="18"/>
  <c r="V29" i="16"/>
  <c r="V33" i="16" s="1"/>
  <c r="Z3" i="5" s="1"/>
  <c r="M21" i="18"/>
  <c r="L25" i="18"/>
  <c r="L28" i="18"/>
  <c r="L10" i="18"/>
  <c r="Y42" i="19"/>
  <c r="T152" i="18" s="1"/>
  <c r="V38" i="12"/>
  <c r="W32" i="19"/>
  <c r="Z41" i="19" s="1"/>
  <c r="X32" i="19"/>
  <c r="AA41" i="19" s="1"/>
  <c r="AA129" i="14"/>
  <c r="AA130" i="14" s="1"/>
  <c r="V58" i="9" s="1"/>
  <c r="Y265" i="14"/>
  <c r="V153" i="18" s="1"/>
  <c r="D179" i="18" s="1"/>
  <c r="AA176" i="14"/>
  <c r="Z105" i="14"/>
  <c r="Z106" i="14" s="1"/>
  <c r="U37" i="9" s="1"/>
  <c r="Z173" i="14"/>
  <c r="X264" i="14"/>
  <c r="U144" i="18" s="1"/>
  <c r="I44" i="18" l="1"/>
  <c r="J45" i="18"/>
  <c r="J52" i="18" s="1"/>
  <c r="J36" i="18"/>
  <c r="J7" i="18" s="1"/>
  <c r="H51" i="18"/>
  <c r="K33" i="18"/>
  <c r="K6" i="18" s="1"/>
  <c r="K43" i="18" s="1"/>
  <c r="AB7" i="5"/>
  <c r="AB15" i="5" s="1"/>
  <c r="N21" i="18"/>
  <c r="M25" i="18"/>
  <c r="M28" i="18"/>
  <c r="M10" i="18"/>
  <c r="K39" i="18"/>
  <c r="K8" i="18" s="1"/>
  <c r="L26" i="18"/>
  <c r="L29" i="18"/>
  <c r="L11" i="18"/>
  <c r="M22" i="18"/>
  <c r="AA191" i="14"/>
  <c r="AB191" i="14" s="1"/>
  <c r="L38" i="18"/>
  <c r="L37" i="18"/>
  <c r="Z42" i="19"/>
  <c r="U152" i="18" s="1"/>
  <c r="W38" i="12"/>
  <c r="AA194" i="14"/>
  <c r="V8" i="5"/>
  <c r="Q59" i="9"/>
  <c r="Q60" i="9" s="1"/>
  <c r="U15" i="5"/>
  <c r="S20" i="5"/>
  <c r="Q156" i="18" s="1"/>
  <c r="K35" i="18"/>
  <c r="K34" i="18"/>
  <c r="K36" i="18" s="1"/>
  <c r="K7" i="18" s="1"/>
  <c r="Q88" i="9"/>
  <c r="Y305" i="14"/>
  <c r="V145" i="18" s="1"/>
  <c r="P157" i="18"/>
  <c r="R87" i="9"/>
  <c r="M12" i="18"/>
  <c r="M30" i="18"/>
  <c r="N23" i="18"/>
  <c r="N12" i="18" s="1"/>
  <c r="M27" i="18"/>
  <c r="Y306" i="14"/>
  <c r="V154" i="18" s="1"/>
  <c r="Y155" i="18" s="1"/>
  <c r="J44" i="18"/>
  <c r="I51" i="18"/>
  <c r="V7" i="5"/>
  <c r="Q38" i="9"/>
  <c r="Q41" i="9" s="1"/>
  <c r="Q2" i="18" s="1"/>
  <c r="U14" i="5"/>
  <c r="S19" i="5"/>
  <c r="Q147" i="18" s="1"/>
  <c r="V143" i="18"/>
  <c r="X36" i="19"/>
  <c r="C72" i="18"/>
  <c r="U9" i="5"/>
  <c r="T16" i="5"/>
  <c r="R21" i="5"/>
  <c r="P77" i="9"/>
  <c r="P78" i="9" s="1"/>
  <c r="W36" i="19"/>
  <c r="U143" i="18"/>
  <c r="AA42" i="19"/>
  <c r="V152" i="18" s="1"/>
  <c r="D178" i="18" s="1"/>
  <c r="X38" i="12"/>
  <c r="G72" i="18"/>
  <c r="L32" i="18"/>
  <c r="L31" i="18"/>
  <c r="P2" i="18"/>
  <c r="P148" i="18"/>
  <c r="R86" i="9"/>
  <c r="O4" i="18"/>
  <c r="K45" i="18"/>
  <c r="K52" i="18" s="1"/>
  <c r="J50" i="18"/>
  <c r="G73" i="18"/>
  <c r="AA106" i="14"/>
  <c r="V37" i="9" s="1"/>
  <c r="AA173" i="14"/>
  <c r="AB173" i="14" s="1"/>
  <c r="Y264" i="14"/>
  <c r="V144" i="18" s="1"/>
  <c r="L33" i="18" l="1"/>
  <c r="L6" i="18" s="1"/>
  <c r="L43" i="18" s="1"/>
  <c r="L39" i="18"/>
  <c r="L8" i="18" s="1"/>
  <c r="P4" i="18"/>
  <c r="R88" i="9"/>
  <c r="Y146" i="18"/>
  <c r="M37" i="18"/>
  <c r="M38" i="18"/>
  <c r="W8" i="5"/>
  <c r="R59" i="9"/>
  <c r="R60" i="9" s="1"/>
  <c r="R3" i="18" s="1"/>
  <c r="R3" i="22" s="1"/>
  <c r="V15" i="5"/>
  <c r="T20" i="5"/>
  <c r="R156" i="18" s="1"/>
  <c r="N22" i="18"/>
  <c r="M26" i="18"/>
  <c r="M29" i="18"/>
  <c r="M11" i="18"/>
  <c r="M31" i="18"/>
  <c r="M32" i="18"/>
  <c r="Q3" i="18"/>
  <c r="Q3" i="22" s="1"/>
  <c r="Q157" i="18"/>
  <c r="S87" i="9"/>
  <c r="K50" i="18"/>
  <c r="S21" i="5"/>
  <c r="U16" i="5"/>
  <c r="V9" i="5"/>
  <c r="Q77" i="9"/>
  <c r="Q78" i="9" s="1"/>
  <c r="W7" i="5"/>
  <c r="R38" i="9"/>
  <c r="R41" i="9" s="1"/>
  <c r="T19" i="5"/>
  <c r="R147" i="18" s="1"/>
  <c r="V14" i="5"/>
  <c r="L45" i="18"/>
  <c r="L52" i="18" s="1"/>
  <c r="J51" i="18"/>
  <c r="K44" i="18"/>
  <c r="N27" i="18"/>
  <c r="N30" i="18"/>
  <c r="O23" i="18"/>
  <c r="O21" i="18"/>
  <c r="N25" i="18"/>
  <c r="N28" i="18"/>
  <c r="N10" i="18"/>
  <c r="L35" i="18"/>
  <c r="L34" i="18"/>
  <c r="Q148" i="18"/>
  <c r="S86" i="9"/>
  <c r="C73" i="18"/>
  <c r="M33" i="18" l="1"/>
  <c r="M6" i="18" s="1"/>
  <c r="M43" i="18" s="1"/>
  <c r="M50" i="18" s="1"/>
  <c r="L36" i="18"/>
  <c r="L7" i="18" s="1"/>
  <c r="L44" i="18" s="1"/>
  <c r="X8" i="5"/>
  <c r="S59" i="9"/>
  <c r="S60" i="9" s="1"/>
  <c r="U20" i="5"/>
  <c r="S156" i="18" s="1"/>
  <c r="W15" i="5"/>
  <c r="M39" i="18"/>
  <c r="M8" i="18" s="1"/>
  <c r="M45" i="18" s="1"/>
  <c r="X7" i="5"/>
  <c r="S38" i="9"/>
  <c r="S41" i="9" s="1"/>
  <c r="U19" i="5"/>
  <c r="S147" i="18" s="1"/>
  <c r="W14" i="5"/>
  <c r="R77" i="9"/>
  <c r="R78" i="9" s="1"/>
  <c r="V16" i="5"/>
  <c r="W9" i="5"/>
  <c r="T21" i="5"/>
  <c r="P21" i="18"/>
  <c r="O28" i="18"/>
  <c r="O25" i="18"/>
  <c r="O10" i="18"/>
  <c r="T87" i="9"/>
  <c r="R157" i="18"/>
  <c r="R2" i="18"/>
  <c r="R148" i="18"/>
  <c r="T86" i="9"/>
  <c r="Q4" i="18"/>
  <c r="S88" i="9"/>
  <c r="N26" i="18"/>
  <c r="N29" i="18"/>
  <c r="N11" i="18"/>
  <c r="O22" i="18"/>
  <c r="L50" i="18"/>
  <c r="O12" i="18"/>
  <c r="O27" i="18"/>
  <c r="P23" i="18"/>
  <c r="P12" i="18" s="1"/>
  <c r="O30" i="18"/>
  <c r="N37" i="18"/>
  <c r="N38" i="18"/>
  <c r="M35" i="18"/>
  <c r="M34" i="18"/>
  <c r="M36" i="18" s="1"/>
  <c r="M7" i="18" s="1"/>
  <c r="K51" i="18"/>
  <c r="N31" i="18"/>
  <c r="N32" i="18"/>
  <c r="N39" i="18" l="1"/>
  <c r="N8" i="18" s="1"/>
  <c r="N45" i="18" s="1"/>
  <c r="N52" i="18" s="1"/>
  <c r="N34" i="18"/>
  <c r="N35" i="18"/>
  <c r="O38" i="18"/>
  <c r="O37" i="18"/>
  <c r="O31" i="18"/>
  <c r="O32" i="18"/>
  <c r="M52" i="18"/>
  <c r="Q21" i="18"/>
  <c r="P25" i="18"/>
  <c r="P28" i="18"/>
  <c r="P10" i="18"/>
  <c r="S2" i="18"/>
  <c r="S148" i="18"/>
  <c r="U86" i="9"/>
  <c r="Y8" i="5"/>
  <c r="T59" i="9"/>
  <c r="T60" i="9" s="1"/>
  <c r="V20" i="5"/>
  <c r="T156" i="18" s="1"/>
  <c r="X15" i="5"/>
  <c r="R4" i="18"/>
  <c r="T88" i="9"/>
  <c r="N33" i="18"/>
  <c r="N6" i="18" s="1"/>
  <c r="N43" i="18" s="1"/>
  <c r="O29" i="18"/>
  <c r="O26" i="18"/>
  <c r="O11" i="18"/>
  <c r="P22" i="18"/>
  <c r="Y7" i="5"/>
  <c r="T38" i="9"/>
  <c r="T41" i="9" s="1"/>
  <c r="X14" i="5"/>
  <c r="V19" i="5"/>
  <c r="T147" i="18" s="1"/>
  <c r="P30" i="18"/>
  <c r="Q23" i="18"/>
  <c r="Q12" i="18" s="1"/>
  <c r="P27" i="18"/>
  <c r="L51" i="18"/>
  <c r="M44" i="18"/>
  <c r="S3" i="18"/>
  <c r="S3" i="22" s="1"/>
  <c r="S157" i="18"/>
  <c r="U87" i="9"/>
  <c r="X9" i="5"/>
  <c r="U21" i="5"/>
  <c r="W16" i="5"/>
  <c r="S77" i="9"/>
  <c r="S78" i="9" s="1"/>
  <c r="O39" i="18" l="1"/>
  <c r="O8" i="18" s="1"/>
  <c r="N50" i="18"/>
  <c r="O33" i="18"/>
  <c r="O6" i="18" s="1"/>
  <c r="O43" i="18" s="1"/>
  <c r="Y9" i="5"/>
  <c r="V21" i="5"/>
  <c r="X16" i="5"/>
  <c r="T77" i="9"/>
  <c r="T78" i="9" s="1"/>
  <c r="O35" i="18"/>
  <c r="O34" i="18"/>
  <c r="S4" i="18"/>
  <c r="U88" i="9"/>
  <c r="Z8" i="5"/>
  <c r="U59" i="9"/>
  <c r="U60" i="9" s="1"/>
  <c r="W20" i="5"/>
  <c r="U156" i="18" s="1"/>
  <c r="Y15" i="5"/>
  <c r="T148" i="18"/>
  <c r="V86" i="9"/>
  <c r="U38" i="9"/>
  <c r="U41" i="9" s="1"/>
  <c r="W19" i="5"/>
  <c r="U147" i="18" s="1"/>
  <c r="Y14" i="5"/>
  <c r="Z7" i="5"/>
  <c r="Q22" i="18"/>
  <c r="P26" i="18"/>
  <c r="P29" i="18"/>
  <c r="P11" i="18"/>
  <c r="O45" i="18"/>
  <c r="O52" i="18" s="1"/>
  <c r="T2" i="18"/>
  <c r="P31" i="18"/>
  <c r="P32" i="18"/>
  <c r="P37" i="18"/>
  <c r="P38" i="18"/>
  <c r="Q30" i="18"/>
  <c r="Q27" i="18"/>
  <c r="R23" i="18"/>
  <c r="R12" i="18" s="1"/>
  <c r="M51" i="18"/>
  <c r="T3" i="18"/>
  <c r="T3" i="22" s="1"/>
  <c r="T157" i="18"/>
  <c r="V87" i="9"/>
  <c r="R21" i="18"/>
  <c r="Q25" i="18"/>
  <c r="Q28" i="18"/>
  <c r="Q10" i="18"/>
  <c r="N36" i="18"/>
  <c r="N7" i="18" s="1"/>
  <c r="N44" i="18" s="1"/>
  <c r="O36" i="18" l="1"/>
  <c r="O7" i="18" s="1"/>
  <c r="O44" i="18" s="1"/>
  <c r="O51" i="18" s="1"/>
  <c r="P33" i="18"/>
  <c r="P6" i="18" s="1"/>
  <c r="P43" i="18" s="1"/>
  <c r="P50" i="18" s="1"/>
  <c r="N51" i="18"/>
  <c r="O50" i="18"/>
  <c r="U157" i="18"/>
  <c r="W87" i="9"/>
  <c r="S23" i="18"/>
  <c r="S12" i="18" s="1"/>
  <c r="R30" i="18"/>
  <c r="R27" i="18"/>
  <c r="Q37" i="18"/>
  <c r="Q38" i="18"/>
  <c r="Y16" i="5"/>
  <c r="U77" i="9"/>
  <c r="U78" i="9" s="1"/>
  <c r="U4" i="18" s="1"/>
  <c r="Z9" i="5"/>
  <c r="W21" i="5"/>
  <c r="U3" i="18"/>
  <c r="U3" i="22" s="1"/>
  <c r="Q32" i="18"/>
  <c r="Q31" i="18"/>
  <c r="U2" i="18"/>
  <c r="W86" i="9"/>
  <c r="U148" i="18"/>
  <c r="P39" i="18"/>
  <c r="P8" i="18" s="1"/>
  <c r="P45" i="18" s="1"/>
  <c r="Q26" i="18"/>
  <c r="Q29" i="18"/>
  <c r="R22" i="18"/>
  <c r="Q11" i="18"/>
  <c r="V59" i="9"/>
  <c r="Z15" i="5"/>
  <c r="G74" i="18"/>
  <c r="X20" i="5"/>
  <c r="V156" i="18" s="1"/>
  <c r="D181" i="18" s="1"/>
  <c r="S21" i="18"/>
  <c r="R25" i="18"/>
  <c r="R28" i="18"/>
  <c r="R10" i="18"/>
  <c r="P35" i="18"/>
  <c r="P34" i="18"/>
  <c r="V38" i="9"/>
  <c r="V41" i="9" s="1"/>
  <c r="C74" i="18"/>
  <c r="Z14" i="5"/>
  <c r="AB14" i="5" s="1"/>
  <c r="X19" i="5"/>
  <c r="V147" i="18" s="1"/>
  <c r="T4" i="18"/>
  <c r="V88" i="9"/>
  <c r="Q33" i="18" l="1"/>
  <c r="Q6" i="18" s="1"/>
  <c r="P36" i="18"/>
  <c r="P7" i="18" s="1"/>
  <c r="P44" i="18" s="1"/>
  <c r="V3" i="18"/>
  <c r="V3" i="22" s="1"/>
  <c r="W3" i="22" s="1"/>
  <c r="G75" i="18"/>
  <c r="V157" i="18"/>
  <c r="Z153" i="18" s="1"/>
  <c r="X87" i="9"/>
  <c r="G76" i="18"/>
  <c r="V77" i="9"/>
  <c r="V78" i="9" s="1"/>
  <c r="V4" i="18" s="1"/>
  <c r="W4" i="18" s="1"/>
  <c r="X21" i="5"/>
  <c r="Z16" i="5"/>
  <c r="S22" i="18"/>
  <c r="R26" i="18"/>
  <c r="R29" i="18"/>
  <c r="R11" i="18"/>
  <c r="R31" i="18"/>
  <c r="R32" i="18"/>
  <c r="T21" i="18"/>
  <c r="S28" i="18"/>
  <c r="S25" i="18"/>
  <c r="S10" i="18"/>
  <c r="Q34" i="18"/>
  <c r="Q35" i="18"/>
  <c r="Q39" i="18"/>
  <c r="Q8" i="18" s="1"/>
  <c r="Q45" i="18" s="1"/>
  <c r="S30" i="18"/>
  <c r="S27" i="18"/>
  <c r="T23" i="18"/>
  <c r="T12" i="18" s="1"/>
  <c r="X86" i="9"/>
  <c r="C75" i="18"/>
  <c r="V148" i="18"/>
  <c r="AB147" i="18" s="1"/>
  <c r="W88" i="9"/>
  <c r="Q43" i="18"/>
  <c r="V2" i="18"/>
  <c r="P52" i="18"/>
  <c r="R37" i="18"/>
  <c r="R38" i="18"/>
  <c r="AB156" i="18" l="1"/>
  <c r="D182" i="18"/>
  <c r="R39" i="18"/>
  <c r="R8" i="18" s="1"/>
  <c r="R45" i="18" s="1"/>
  <c r="R52" i="18" s="1"/>
  <c r="Q52" i="18"/>
  <c r="P51" i="18"/>
  <c r="C76" i="18"/>
  <c r="AA145" i="18"/>
  <c r="T27" i="18"/>
  <c r="U23" i="18"/>
  <c r="T30" i="18"/>
  <c r="S32" i="18"/>
  <c r="S31" i="18"/>
  <c r="R34" i="18"/>
  <c r="R35" i="18"/>
  <c r="AA154" i="18"/>
  <c r="R33" i="18"/>
  <c r="R6" i="18" s="1"/>
  <c r="R43" i="18" s="1"/>
  <c r="Z144" i="18"/>
  <c r="W2" i="18"/>
  <c r="Q50" i="18"/>
  <c r="S37" i="18"/>
  <c r="S38" i="18"/>
  <c r="S26" i="18"/>
  <c r="S29" i="18"/>
  <c r="S11" i="18"/>
  <c r="T22" i="18"/>
  <c r="X88" i="9"/>
  <c r="Q36" i="18"/>
  <c r="Q7" i="18" s="1"/>
  <c r="H75" i="18"/>
  <c r="H72" i="18"/>
  <c r="H73" i="18"/>
  <c r="U21" i="18"/>
  <c r="T28" i="18"/>
  <c r="T25" i="18"/>
  <c r="T10" i="18"/>
  <c r="H74" i="18"/>
  <c r="W3" i="18"/>
  <c r="S33" i="18" l="1"/>
  <c r="S6" i="18" s="1"/>
  <c r="S43" i="18" s="1"/>
  <c r="R36" i="18"/>
  <c r="R7" i="18" s="1"/>
  <c r="T38" i="18"/>
  <c r="T37" i="18"/>
  <c r="S35" i="18"/>
  <c r="S34" i="18"/>
  <c r="U12" i="18"/>
  <c r="U27" i="18"/>
  <c r="V23" i="18"/>
  <c r="U30" i="18"/>
  <c r="S39" i="18"/>
  <c r="S8" i="18" s="1"/>
  <c r="S45" i="18" s="1"/>
  <c r="T29" i="18"/>
  <c r="T26" i="18"/>
  <c r="T11" i="18"/>
  <c r="U22" i="18"/>
  <c r="D72" i="18"/>
  <c r="D73" i="18"/>
  <c r="D74" i="18"/>
  <c r="R50" i="18"/>
  <c r="T32" i="18"/>
  <c r="T31" i="18"/>
  <c r="Q44" i="18"/>
  <c r="Q51" i="18" s="1"/>
  <c r="V21" i="18"/>
  <c r="U25" i="18"/>
  <c r="U28" i="18"/>
  <c r="U10" i="18"/>
  <c r="D75" i="18"/>
  <c r="S50" i="18" l="1"/>
  <c r="T39" i="18"/>
  <c r="T8" i="18" s="1"/>
  <c r="R44" i="18"/>
  <c r="T33" i="18"/>
  <c r="T6" i="18" s="1"/>
  <c r="T43" i="18" s="1"/>
  <c r="S36" i="18"/>
  <c r="S7" i="18" s="1"/>
  <c r="S52" i="18"/>
  <c r="T45" i="18"/>
  <c r="V22" i="18"/>
  <c r="U29" i="18"/>
  <c r="U26" i="18"/>
  <c r="U11" i="18"/>
  <c r="V12" i="18"/>
  <c r="V30" i="18"/>
  <c r="V27" i="18"/>
  <c r="U31" i="18"/>
  <c r="U32" i="18"/>
  <c r="V25" i="18"/>
  <c r="X145" i="18"/>
  <c r="V28" i="18"/>
  <c r="X146" i="18"/>
  <c r="X143" i="18"/>
  <c r="X144" i="18"/>
  <c r="X147" i="18"/>
  <c r="X148" i="18"/>
  <c r="V10" i="18"/>
  <c r="T34" i="18"/>
  <c r="T35" i="18"/>
  <c r="R51" i="18"/>
  <c r="U37" i="18"/>
  <c r="U38" i="18"/>
  <c r="S44" i="18" l="1"/>
  <c r="S51" i="18" s="1"/>
  <c r="T50" i="18"/>
  <c r="V38" i="18"/>
  <c r="V37" i="18"/>
  <c r="U33" i="18"/>
  <c r="U6" i="18" s="1"/>
  <c r="U34" i="18"/>
  <c r="U35" i="18"/>
  <c r="T36" i="18"/>
  <c r="T7" i="18" s="1"/>
  <c r="X156" i="18"/>
  <c r="X155" i="18"/>
  <c r="X153" i="18"/>
  <c r="C41" i="21"/>
  <c r="X152" i="18"/>
  <c r="V26" i="18"/>
  <c r="V29" i="18"/>
  <c r="X154" i="18"/>
  <c r="X157" i="18"/>
  <c r="V11" i="18"/>
  <c r="U39" i="18"/>
  <c r="U8" i="18" s="1"/>
  <c r="U45" i="18" s="1"/>
  <c r="T52" i="18"/>
  <c r="V31" i="18"/>
  <c r="V32" i="18"/>
  <c r="V39" i="18" l="1"/>
  <c r="V8" i="18" s="1"/>
  <c r="U43" i="18"/>
  <c r="T44" i="18"/>
  <c r="V33" i="18"/>
  <c r="V6" i="18" s="1"/>
  <c r="U36" i="18"/>
  <c r="U7" i="18" s="1"/>
  <c r="U52" i="18"/>
  <c r="V45" i="18"/>
  <c r="V52" i="18" s="1"/>
  <c r="V34" i="18"/>
  <c r="V35" i="18"/>
  <c r="U44" i="18" l="1"/>
  <c r="T51" i="18"/>
  <c r="V43" i="18"/>
  <c r="V50" i="18" s="1"/>
  <c r="V36" i="18"/>
  <c r="V7" i="18" s="1"/>
  <c r="U50" i="18"/>
  <c r="U51" i="18" l="1"/>
  <c r="V44" i="18"/>
  <c r="V51" i="18" s="1"/>
</calcChain>
</file>

<file path=xl/comments1.xml><?xml version="1.0" encoding="utf-8"?>
<comments xmlns="http://schemas.openxmlformats.org/spreadsheetml/2006/main">
  <authors>
    <author>Anders Andrae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[88] http://newsroom.cisco.com/release/1197391/</t>
        </r>
      </text>
    </comment>
  </commentList>
</comments>
</file>

<file path=xl/comments2.xml><?xml version="1.0" encoding="utf-8"?>
<comments xmlns="http://schemas.openxmlformats.org/spreadsheetml/2006/main">
  <authors>
    <author>Anders Andrae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amount voice constant 2010-2020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Ericsson mobility report [105]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CISCO VNI 2013, 2010-2017.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[107] Cisco Visual Networking Index: Global Mobile Data Traffic Forecast Update, 2014–2019, page 2(42)</t>
        </r>
      </text>
    </comment>
    <comment ref="C105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voice TWh/EB, Huawei measurements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2G TWh/EB, Huawei measurements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3G TWh/EB, Huawei measurements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4G TWH/EB, Huawei measurements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30 % improvement year by year of energy efficiency from 2012 until 2021.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5G TWh/EB</t>
        </r>
      </text>
    </comment>
    <comment ref="S114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https://www.datacenterdynamics.com/en/analysis/power-efficiency-needs-keep-5gs-demands/</t>
        </r>
      </text>
    </comment>
    <comment ref="AB114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Currently, a cellular site will deliver an energy efficiency of around 20kbit/Joule, and some research papers in the field forecast that 5G could boost this more than two orders of magnitude to 10Mbit/Joule.</t>
        </r>
      </text>
    </comment>
    <comment ref="C129" authorId="0" shapeId="0">
      <text>
        <r>
          <rPr>
            <b/>
            <sz val="9"/>
            <color indexed="81"/>
            <rFont val="Tahoma"/>
            <family val="2"/>
          </rPr>
          <t>Anders Andrae:
Voice TWh/EB</t>
        </r>
      </text>
    </comment>
    <comment ref="C130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2G data TWh/EB</t>
        </r>
      </text>
    </comment>
    <comment ref="C131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3G data TWh/EB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4G data TWh/EB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22 % improvement year by year of energy efficiency from 2012</t>
        </r>
      </text>
    </comment>
    <comment ref="C13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5G data TWh/EB</t>
        </r>
      </text>
    </comment>
    <comment ref="F136" authorId="0" shapeId="0">
      <text>
        <r>
          <rPr>
            <b/>
            <sz val="9"/>
            <color indexed="81"/>
            <rFont val="Tahoma"/>
            <charset val="1"/>
          </rPr>
          <t>Anders Andrae:</t>
        </r>
        <r>
          <rPr>
            <sz val="9"/>
            <color indexed="81"/>
            <rFont val="Tahoma"/>
            <charset val="1"/>
          </rPr>
          <t xml:space="preserve">
F135 value inserted in F136
 to get the "extreme positive" scenario</t>
        </r>
      </text>
    </comment>
    <comment ref="G136" authorId="0" shapeId="0">
      <text>
        <r>
          <rPr>
            <b/>
            <sz val="9"/>
            <color indexed="81"/>
            <rFont val="Tahoma"/>
            <charset val="1"/>
          </rPr>
          <t>Anders Andrae:</t>
        </r>
        <r>
          <rPr>
            <sz val="9"/>
            <color indexed="81"/>
            <rFont val="Tahoma"/>
            <charset val="1"/>
          </rPr>
          <t xml:space="preserve">
G135 value inserted in G136 to get "extreme positive" scenario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10 % improvement year by year of energy efficiency from 2012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[41]: 350 TWh-CPE (51.2) = 298 TWh.
298 TWh - Office (42) = 256. Fixed was 60% of the 256 TWH = 154 TWh. Fixed + Office = 154 + 42 =196 TWh</t>
        </r>
      </text>
    </comment>
    <comment ref="I175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[41]: 350 TWh-CPE (51.2) = 298 TWh.
298 TWh - Office (42) = 256. Fixed was 60% of the 256 TWH = 154 TWh. Fixed + Office = 154 + 42 =196 TWh</t>
        </r>
      </text>
    </comment>
    <comment ref="S17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S177 value inserted in Cell S178 to obtain "extreme positive" scenario</t>
        </r>
      </text>
    </comment>
    <comment ref="T17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T177 value inserted in Cell T178 to obtain "extreme positive" scenario</t>
        </r>
      </text>
    </comment>
    <comment ref="U17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U177 value inserted in Cell U178 to obtain "extreme positive" scenario, etc etc</t>
        </r>
      </text>
    </comment>
    <comment ref="I180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[41]: 350 TWh-CPE (51.2) = 298 TWh.
298 TWh - Office (42) = 256. Fixed was 60% of the 256 TWH = 154 TWh. Fixed + Office = 154 + 42 =196 TWh</t>
        </r>
      </text>
    </comment>
    <comment ref="I190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for  CPE</t>
        </r>
      </text>
    </comment>
    <comment ref="I19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 CPE</t>
        </r>
      </text>
    </comment>
    <comment ref="I19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for Office networks and CPE</t>
        </r>
      </text>
    </comment>
    <comment ref="I206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for  CPE</t>
        </r>
      </text>
    </comment>
    <comment ref="I207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 CPE</t>
        </r>
      </text>
    </comment>
    <comment ref="I208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Lambert 2012 [41] for Office networks and CPE</t>
        </r>
      </text>
    </comment>
  </commentList>
</comments>
</file>

<file path=xl/comments3.xml><?xml version="1.0" encoding="utf-8"?>
<comments xmlns="http://schemas.openxmlformats.org/spreadsheetml/2006/main">
  <authors>
    <author>Anders Andrae</author>
  </authors>
  <commentList>
    <comment ref="R1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R11 value inserted in Celll R12 to obtain "extreme positive" scenario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S11 value inserted in Cell S12  to obtain "extreme positive" scenario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Cell T11 value inserted in Cell T12  to obtain "extreme positive" scenario, etc. Etc until 2030</t>
        </r>
      </text>
    </comment>
  </commentList>
</comments>
</file>

<file path=xl/comments4.xml><?xml version="1.0" encoding="utf-8"?>
<comments xmlns="http://schemas.openxmlformats.org/spreadsheetml/2006/main">
  <authors>
    <author>Anders Andrae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5 year lifetime. 5*146=730M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LCA. 5 years earlier annual production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3 yrs lifetime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http://etc-digital.org/digital-trends/mobile-devices/mobile-smartphones/  4550</t>
        </r>
      </text>
    </comment>
  </commentList>
</comments>
</file>

<file path=xl/comments5.xml><?xml version="1.0" encoding="utf-8"?>
<comments xmlns="http://schemas.openxmlformats.org/spreadsheetml/2006/main">
  <authors>
    <author>Anders Andrae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7 year lifetime. 7
*148=1036M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LCA. 5 years earlier annual production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LCA. 5 years earlier annual production</t>
        </r>
      </text>
    </comment>
  </commentList>
</comments>
</file>

<file path=xl/comments6.xml><?xml version="1.0" encoding="utf-8"?>
<comments xmlns="http://schemas.openxmlformats.org/spreadsheetml/2006/main">
  <authors>
    <author>Anders Andrae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Anders Andrae: [66]</t>
        </r>
        <r>
          <rPr>
            <sz val="9"/>
            <color indexed="81"/>
            <rFont val="Tahoma"/>
            <family val="2"/>
          </rPr>
          <t xml:space="preserve">
http://www.gartner.com/newsroom/id/2791017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[68]</t>
        </r>
      </text>
    </comment>
  </commentList>
</comments>
</file>

<file path=xl/comments7.xml><?xml version="1.0" encoding="utf-8"?>
<comments xmlns="http://schemas.openxmlformats.org/spreadsheetml/2006/main">
  <authors>
    <author>Anders Andrae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Hydro + Other renewables.</t>
        </r>
      </text>
    </comment>
  </commentList>
</comments>
</file>

<file path=xl/comments8.xml><?xml version="1.0" encoding="utf-8"?>
<comments xmlns="http://schemas.openxmlformats.org/spreadsheetml/2006/main">
  <authors>
    <author>Anders Andrae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Anders Andrae:</t>
        </r>
        <r>
          <rPr>
            <sz val="9"/>
            <color indexed="81"/>
            <rFont val="Tahoma"/>
            <family val="2"/>
          </rPr>
          <t xml:space="preserve">
Ericsson 9.1</t>
        </r>
      </text>
    </comment>
  </commentList>
</comments>
</file>

<file path=xl/sharedStrings.xml><?xml version="1.0" encoding="utf-8"?>
<sst xmlns="http://schemas.openxmlformats.org/spreadsheetml/2006/main" count="669" uniqueCount="346">
  <si>
    <t xml:space="preserve"> </t>
    <phoneticPr fontId="6" type="noConversion"/>
  </si>
  <si>
    <t>Desktops</t>
    <phoneticPr fontId="6" type="noConversion"/>
  </si>
  <si>
    <t>Monitors</t>
    <phoneticPr fontId="6" type="noConversion"/>
  </si>
  <si>
    <t>Laptops</t>
    <phoneticPr fontId="6" type="noConversion"/>
  </si>
  <si>
    <t>Smartphones</t>
    <phoneticPr fontId="6" type="noConversion"/>
  </si>
  <si>
    <t>Tablets</t>
    <phoneticPr fontId="6" type="noConversion"/>
  </si>
  <si>
    <t>TV</t>
    <phoneticPr fontId="6" type="noConversion"/>
  </si>
  <si>
    <t>TV STB</t>
    <phoneticPr fontId="6" type="noConversion"/>
  </si>
  <si>
    <t>TV GC</t>
    <phoneticPr fontId="6" type="noConversion"/>
  </si>
  <si>
    <t>TWhr/year</t>
    <phoneticPr fontId="6" type="noConversion"/>
  </si>
  <si>
    <t>KWhr/year (2010)</t>
    <phoneticPr fontId="6" type="noConversion"/>
  </si>
  <si>
    <t>Efficiency Factor</t>
    <phoneticPr fontId="6" type="noConversion"/>
  </si>
  <si>
    <t>A/V Receiver</t>
    <phoneticPr fontId="6" type="noConversion"/>
  </si>
  <si>
    <t>DVD/Blueray</t>
    <phoneticPr fontId="6" type="noConversion"/>
  </si>
  <si>
    <t xml:space="preserve"> </t>
  </si>
  <si>
    <t>Best Case</t>
  </si>
  <si>
    <t>Expected</t>
  </si>
  <si>
    <t>Worst Case</t>
  </si>
  <si>
    <t>TWhr/year</t>
  </si>
  <si>
    <t>Desktops</t>
  </si>
  <si>
    <t>Monitors</t>
  </si>
  <si>
    <t>Laptops</t>
  </si>
  <si>
    <t>Smartphones</t>
  </si>
  <si>
    <t>Tablets</t>
  </si>
  <si>
    <t>TV</t>
  </si>
  <si>
    <t>TV STB</t>
  </si>
  <si>
    <t>TV GC</t>
  </si>
  <si>
    <t>A/V Receiver</t>
  </si>
  <si>
    <t>DVD/Blueray</t>
  </si>
  <si>
    <t>Networks eq</t>
  </si>
  <si>
    <t>Data center eq</t>
  </si>
  <si>
    <t>Total</t>
  </si>
  <si>
    <t>EXPECTED</t>
  </si>
  <si>
    <t>WORST</t>
  </si>
  <si>
    <t> BEST</t>
  </si>
  <si>
    <t>Numbers</t>
    <phoneticPr fontId="6" type="noConversion"/>
  </si>
  <si>
    <t># per TV set</t>
    <phoneticPr fontId="6" type="noConversion"/>
  </si>
  <si>
    <t># per Desktop</t>
    <phoneticPr fontId="6" type="noConversion"/>
  </si>
  <si>
    <t>Ordinary phones</t>
  </si>
  <si>
    <t>Ord phones</t>
  </si>
  <si>
    <t>Ord ph</t>
  </si>
  <si>
    <t>Annual</t>
  </si>
  <si>
    <t>EB/year</t>
  </si>
  <si>
    <t>EB</t>
  </si>
  <si>
    <t>TWh/EB</t>
  </si>
  <si>
    <t>Data Centers Use</t>
  </si>
  <si>
    <t xml:space="preserve">Voice </t>
  </si>
  <si>
    <t>Wireless TOTAL</t>
  </si>
  <si>
    <t>Fixed TOTAL</t>
  </si>
  <si>
    <t>Share voice 2010</t>
  </si>
  <si>
    <t>LTE power ratio</t>
  </si>
  <si>
    <t>TWhr/EB</t>
  </si>
  <si>
    <t>Share of total global electricity</t>
  </si>
  <si>
    <t>TWh/year</t>
  </si>
  <si>
    <t>CO2e Best, Gt</t>
  </si>
  <si>
    <t>CO2e Expected, Gt</t>
  </si>
  <si>
    <t>CO2e Worst, Gt</t>
  </si>
  <si>
    <t>Best</t>
  </si>
  <si>
    <t>Worst</t>
  </si>
  <si>
    <t>LTE/4G DT</t>
  </si>
  <si>
    <t xml:space="preserve">5G </t>
  </si>
  <si>
    <t>TOTAL Networks</t>
  </si>
  <si>
    <t>Phablets</t>
  </si>
  <si>
    <t>KWhr/unit (2010), expected</t>
  </si>
  <si>
    <t>Desktops 3</t>
  </si>
  <si>
    <t>Monitors 3</t>
  </si>
  <si>
    <t>Laptops 3</t>
  </si>
  <si>
    <t>Smartphones 1</t>
  </si>
  <si>
    <t>Tablets 2</t>
  </si>
  <si>
    <t>Phablets 1</t>
  </si>
  <si>
    <t>TV 8</t>
  </si>
  <si>
    <t>A/V Receivers 8</t>
  </si>
  <si>
    <t>DVD/Bluerays 8</t>
  </si>
  <si>
    <t>EB/yr</t>
  </si>
  <si>
    <t>Desktops 5</t>
  </si>
  <si>
    <t>Monitors 5</t>
  </si>
  <si>
    <t>Laptops 5</t>
  </si>
  <si>
    <t>Smartphones 2</t>
  </si>
  <si>
    <t>Phablets 2</t>
  </si>
  <si>
    <t>TV 10</t>
  </si>
  <si>
    <t>TV STB 10</t>
  </si>
  <si>
    <t>TV GC 10</t>
  </si>
  <si>
    <t>A/V Receiver 10</t>
  </si>
  <si>
    <t>DVD/Blueray 10</t>
  </si>
  <si>
    <t>Desktops 7</t>
  </si>
  <si>
    <t>Monitors 7</t>
  </si>
  <si>
    <t>Laptops 7</t>
  </si>
  <si>
    <t>Smartphones 3</t>
  </si>
  <si>
    <t>Tablets 3</t>
  </si>
  <si>
    <t>Phablets 3</t>
  </si>
  <si>
    <t>Devices in use at the same time (millions), short lifetime and low average power consumption</t>
  </si>
  <si>
    <t>Devices Use</t>
  </si>
  <si>
    <t>Networks Use</t>
  </si>
  <si>
    <t>Production</t>
  </si>
  <si>
    <t>Fixed</t>
  </si>
  <si>
    <t>TOTAL Data Center traffic</t>
  </si>
  <si>
    <t>Devices in use at the same time (millions), expected lifetime and average expected power consumption</t>
  </si>
  <si>
    <t>Best 2020-2030</t>
  </si>
  <si>
    <t>Expec- 2020-2030</t>
  </si>
  <si>
    <t>Mobile Broadband Modems</t>
  </si>
  <si>
    <t>Wireless Routers</t>
  </si>
  <si>
    <t>TWh</t>
  </si>
  <si>
    <t>EB/YEAR</t>
  </si>
  <si>
    <t>( Annual % Efficiency Improvem't s 15%,10%, 5%)</t>
  </si>
  <si>
    <t>http://www.theguardian.com/environment/2014/sep/18/world-population-new-study-11bn-2100</t>
  </si>
  <si>
    <t>Global population (billions)</t>
  </si>
  <si>
    <t>CAGR</t>
  </si>
  <si>
    <t>Ordinary</t>
  </si>
  <si>
    <t>8K 3D video</t>
  </si>
  <si>
    <t>Hours per subscription per day</t>
  </si>
  <si>
    <t>Yearly ExaBytes</t>
  </si>
  <si>
    <t>Bandwidth necessary, Mbps</t>
  </si>
  <si>
    <t>Total traffic</t>
  </si>
  <si>
    <t>Penetration = consumers</t>
  </si>
  <si>
    <t>Tablets 1</t>
  </si>
  <si>
    <t>Worst- 2020-2030</t>
  </si>
  <si>
    <t>LTE Electr.</t>
  </si>
  <si>
    <t>5G Electr.</t>
  </si>
  <si>
    <t>3G Electr.</t>
  </si>
  <si>
    <t>LTE Electr</t>
  </si>
  <si>
    <t>3G DT</t>
  </si>
  <si>
    <t>2G DT</t>
  </si>
  <si>
    <t>2G Electr.</t>
  </si>
  <si>
    <t>EE in year</t>
  </si>
  <si>
    <t>Best (Lowest data growth, best annual EE, lowest TWh/EB)</t>
  </si>
  <si>
    <t>Worst (Highest data growth, worst annual EE, highest TWh/EB)</t>
  </si>
  <si>
    <t>Expected (Expected data growth,
 expected annual EE, expected TWh/EB)</t>
  </si>
  <si>
    <t>,</t>
  </si>
  <si>
    <t>TWh/EB, voice</t>
  </si>
  <si>
    <t>TWh/EB, 2G data</t>
  </si>
  <si>
    <t>TWh/EB, 3G data</t>
  </si>
  <si>
    <t>TWh/EB, 4G data</t>
  </si>
  <si>
    <t>TWh/EB, 5G data</t>
  </si>
  <si>
    <t>Year</t>
  </si>
  <si>
    <t>Shares of total wireless traffic</t>
  </si>
  <si>
    <t>%Voice</t>
  </si>
  <si>
    <t>Shares of mobile data traffic</t>
  </si>
  <si>
    <t>% 2G data</t>
  </si>
  <si>
    <t>% 3G data</t>
  </si>
  <si>
    <t>% LTE/4G data</t>
  </si>
  <si>
    <t>% 5G data</t>
  </si>
  <si>
    <t>Tablets at the same time 2030</t>
  </si>
  <si>
    <t>Personal</t>
  </si>
  <si>
    <t>EB/year
 [Global Data Center IP Traffic]</t>
  </si>
  <si>
    <t>ZettaBytes</t>
  </si>
  <si>
    <t>BASELINE</t>
  </si>
  <si>
    <t>WIRELESS</t>
  </si>
  <si>
    <t>ELECTRICITY WIRELESS</t>
  </si>
  <si>
    <t>Best Scenario</t>
  </si>
  <si>
    <t>Expected Scenario</t>
  </si>
  <si>
    <t>Worst Scenario</t>
  </si>
  <si>
    <t>ExaBytes</t>
  </si>
  <si>
    <t xml:space="preserve">Best </t>
  </si>
  <si>
    <t>Best CAGR 2020-2030</t>
  </si>
  <si>
    <t>Expected CAGR 2020-2030</t>
  </si>
  <si>
    <t>Worst CAGR 2020-2030</t>
  </si>
  <si>
    <t>Baseline CAGR 2018-2030</t>
  </si>
  <si>
    <t>Best, Fixed 13%CAGR+WiFi 25%CAGR growths,
 15%CAGR improvement of EE</t>
  </si>
  <si>
    <t>Worst, Fixed 15%CAGR+WiFi 35%CAGR growths, 5%CAGR improvement of EE</t>
  </si>
  <si>
    <t>Expected,
Fixed 14%CAGR+WiFi 30%CAGR growths, 10%CAGR improvement of EE</t>
  </si>
  <si>
    <t>ZetaBytes</t>
  </si>
  <si>
    <t>Millions of units produced per year</t>
  </si>
  <si>
    <t>Annual EE improvement from 2013</t>
  </si>
  <si>
    <t>2G</t>
  </si>
  <si>
    <t>3G</t>
  </si>
  <si>
    <t>4G</t>
  </si>
  <si>
    <t>5G</t>
  </si>
  <si>
    <t>Voice</t>
  </si>
  <si>
    <t>Baseline</t>
  </si>
  <si>
    <t>Sanity check</t>
  </si>
  <si>
    <t>Data Centers Best</t>
  </si>
  <si>
    <t>Data Centers Expected</t>
  </si>
  <si>
    <t>Data Centers Worst</t>
  </si>
  <si>
    <t>Production Best</t>
  </si>
  <si>
    <t>Production Expected</t>
  </si>
  <si>
    <t>Production Worst</t>
  </si>
  <si>
    <t>Share renewable, best</t>
  </si>
  <si>
    <t>Share renewable, expected</t>
  </si>
  <si>
    <t>Share renewable, worst</t>
  </si>
  <si>
    <t>CO2e intensity of non-renewable, best</t>
  </si>
  <si>
    <t>CO2e intensity of renewable, best</t>
  </si>
  <si>
    <t>CO2 intensity of "global" mix, best</t>
  </si>
  <si>
    <t>CO2e intensity of non-renewable, expected</t>
  </si>
  <si>
    <t>CO2e intensity of renewable, expected</t>
  </si>
  <si>
    <t>CO2 intensity of "global" mix, expected</t>
  </si>
  <si>
    <t>CO2e intensity of non-renewable, worst</t>
  </si>
  <si>
    <t>CO2e intensity of renewable, worst</t>
  </si>
  <si>
    <t>CO2 intensity of "global" mix, worst</t>
  </si>
  <si>
    <t>Share non-renewable electricity, best</t>
  </si>
  <si>
    <t>Share non-renewable electricity, expected</t>
  </si>
  <si>
    <t>Share non-renewable electricity, worst</t>
  </si>
  <si>
    <t>Renewable (TWh)</t>
  </si>
  <si>
    <t>Total Global Electricity Usage (TWh), Best</t>
  </si>
  <si>
    <t>Total Global Electricity Usage (TWh), Expected</t>
  </si>
  <si>
    <t>Total Global Electricity Usage (TWh), Worst</t>
  </si>
  <si>
    <t>2G data traffic constant
 from 2021</t>
  </si>
  <si>
    <t>k</t>
  </si>
  <si>
    <t>M</t>
  </si>
  <si>
    <t>G</t>
  </si>
  <si>
    <t>T</t>
  </si>
  <si>
    <t>P</t>
  </si>
  <si>
    <t>E</t>
  </si>
  <si>
    <t>1 bit</t>
  </si>
  <si>
    <t>1 joule</t>
  </si>
  <si>
    <t>1 ExaByte</t>
  </si>
  <si>
    <t>1 TWh</t>
  </si>
  <si>
    <t>ExaByte</t>
  </si>
  <si>
    <t>TWH/EB</t>
  </si>
  <si>
    <t>EB/TWH</t>
  </si>
  <si>
    <t>1 KWh</t>
  </si>
  <si>
    <t>TB</t>
  </si>
  <si>
    <t>Devices in use at the same time (millions), "long" lifetime and average "high" power consumption</t>
  </si>
  <si>
    <t>Total (TWh)</t>
  </si>
  <si>
    <t>Share of total globally released greenhous gases</t>
  </si>
  <si>
    <t>Consumer devices Use</t>
  </si>
  <si>
    <t>Consumer devices use</t>
  </si>
  <si>
    <t>Consumer devices Use Best</t>
  </si>
  <si>
    <t>Consumer devices Use Expected</t>
  </si>
  <si>
    <t>Consumer devices Use Worst</t>
  </si>
  <si>
    <t>TV GameConsole 8</t>
  </si>
  <si>
    <t>TV SetTopBox 8</t>
  </si>
  <si>
    <t>TOTAL MOBILE DATA TRAFFIC</t>
  </si>
  <si>
    <t>2G/3G voice</t>
  </si>
  <si>
    <t>Wireless networks access use</t>
  </si>
  <si>
    <t>Data centers use</t>
  </si>
  <si>
    <t>%</t>
  </si>
  <si>
    <t>Global greenhouse gas emissions, Gigatonnes</t>
  </si>
  <si>
    <t>Growth rate non-communication technology electricity</t>
  </si>
  <si>
    <t>Mobile Data traffic (EB/year), best</t>
  </si>
  <si>
    <t>Mobile Data traffic (EB/year), expected</t>
  </si>
  <si>
    <t>Mobile Data traffic (EB/year), worst</t>
  </si>
  <si>
    <t>Fixed total best (EB/year)</t>
  </si>
  <si>
    <t>Fixed total expected (EB/year)</t>
  </si>
  <si>
    <t>Fixed total worst (EB/year)</t>
  </si>
  <si>
    <t>Access (“Data-center-to-user”), best, (EB/year)</t>
  </si>
  <si>
    <t>Global Data Center IP Traffic, best, (EB/year)</t>
  </si>
  <si>
    <t>Global Data Center IP Traffic, exp, (EB/year)</t>
  </si>
  <si>
    <t>Global Data Center IP Traffic, worst, (EB/year)</t>
  </si>
  <si>
    <t>Growth rate renewable electricity</t>
  </si>
  <si>
    <t>Electricity efficiency</t>
  </si>
  <si>
    <t>Access (“Data-center-to-user”), worst, (EB/year)</t>
  </si>
  <si>
    <t>Access (“Data-center-to-user”), expexted, (EB/year)</t>
  </si>
  <si>
    <t>Within and between Data centers, (EB/year)</t>
  </si>
  <si>
    <t>2G/3G mobile voice traffic (EB/year)</t>
  </si>
  <si>
    <r>
      <rPr>
        <b/>
        <i/>
        <sz val="10"/>
        <color rgb="FF0070C0"/>
        <rFont val="Verdana"/>
        <family val="2"/>
      </rPr>
      <t xml:space="preserve">Monthly TOTAL Mobile </t>
    </r>
    <r>
      <rPr>
        <b/>
        <i/>
        <sz val="10"/>
        <rFont val="Verdana"/>
        <family val="2"/>
      </rPr>
      <t>Data Traffic, EB</t>
    </r>
  </si>
  <si>
    <r>
      <rPr>
        <b/>
        <sz val="10"/>
        <color rgb="FF0070C0"/>
        <rFont val="Verdana"/>
        <family val="2"/>
      </rPr>
      <t xml:space="preserve">Monthly 5G Mobile </t>
    </r>
    <r>
      <rPr>
        <b/>
        <sz val="10"/>
        <rFont val="Verdana"/>
        <family val="2"/>
      </rPr>
      <t>Data Traffic, EB</t>
    </r>
  </si>
  <si>
    <r>
      <rPr>
        <b/>
        <sz val="10"/>
        <color rgb="FF0070C0"/>
        <rFont val="Verdana"/>
        <family val="2"/>
      </rPr>
      <t xml:space="preserve">Monthly 4G Mobile </t>
    </r>
    <r>
      <rPr>
        <b/>
        <sz val="10"/>
        <rFont val="Verdana"/>
        <family val="2"/>
      </rPr>
      <t>Data Traffic, EB</t>
    </r>
  </si>
  <si>
    <r>
      <rPr>
        <b/>
        <sz val="10"/>
        <color rgb="FF0070C0"/>
        <rFont val="Verdana"/>
        <family val="2"/>
      </rPr>
      <t xml:space="preserve">Monthly 3G Mobile </t>
    </r>
    <r>
      <rPr>
        <b/>
        <sz val="10"/>
        <rFont val="Verdana"/>
        <family val="2"/>
      </rPr>
      <t>Data Traffic, EB</t>
    </r>
  </si>
  <si>
    <r>
      <rPr>
        <b/>
        <sz val="10"/>
        <color rgb="FF0070C0"/>
        <rFont val="Verdana"/>
        <family val="2"/>
      </rPr>
      <t xml:space="preserve">Monthly 2G Mobile </t>
    </r>
    <r>
      <rPr>
        <b/>
        <sz val="10"/>
        <rFont val="Verdana"/>
        <family val="2"/>
      </rPr>
      <t>Data Traffic, EB</t>
    </r>
  </si>
  <si>
    <r>
      <rPr>
        <b/>
        <sz val="10"/>
        <color rgb="FF0070C0"/>
        <rFont val="Verdana"/>
        <family val="2"/>
      </rPr>
      <t>Monthly 2G/3G mobile v</t>
    </r>
    <r>
      <rPr>
        <b/>
        <sz val="10"/>
        <rFont val="Verdana"/>
        <family val="2"/>
      </rPr>
      <t>oice Traffic, EB</t>
    </r>
  </si>
  <si>
    <t>2G/3G mobile voice traffic</t>
  </si>
  <si>
    <t>2G mobile data traffic</t>
  </si>
  <si>
    <t>3G mobile data traffic</t>
  </si>
  <si>
    <t>4G mobile data traffic</t>
  </si>
  <si>
    <t>5G mobile data traffic</t>
  </si>
  <si>
    <t>2G/3G Voice Electricity usage</t>
  </si>
  <si>
    <t xml:space="preserve">Fixed access traffic EB </t>
  </si>
  <si>
    <t>Fixed access electricity usage, TWh</t>
  </si>
  <si>
    <t>Electricity usages for Data Centers;
0.135 TWh/EB to 0.142 TWh/EB.</t>
  </si>
  <si>
    <t>( Annual % Efficiency Improvements 15%,10%, 5%)</t>
  </si>
  <si>
    <t>Growth rate global greenhouse gas emissions</t>
  </si>
  <si>
    <t>Figure 5</t>
  </si>
  <si>
    <t>Figure 1</t>
  </si>
  <si>
    <t>Table 2</t>
  </si>
  <si>
    <t>Necessary EE (TWh/EB) 2015:</t>
  </si>
  <si>
    <t>Fixed access WiFi use</t>
  </si>
  <si>
    <t>Fixed access wired use</t>
  </si>
  <si>
    <t>Fixed access wired Best</t>
  </si>
  <si>
    <t>Fixed access wired Expected</t>
  </si>
  <si>
    <t>Fixed access wired Worst</t>
  </si>
  <si>
    <t>Fixed access WiFi Best</t>
  </si>
  <si>
    <t>Fixed access WiFi Expected</t>
  </si>
  <si>
    <t>Fixed access WiFi Worst</t>
  </si>
  <si>
    <t>Figure 2a</t>
  </si>
  <si>
    <t>Figure 2b</t>
  </si>
  <si>
    <t>ELECTRICITY FIXED ACCESS WIRED</t>
  </si>
  <si>
    <t>http://www.convergedigest.com/2012/10/cisco-global-data-center-traffic.html</t>
  </si>
  <si>
    <t>Source: Cisco Global Cloud Index: Forecast and Methodology, 2011–2016</t>
  </si>
  <si>
    <t xml:space="preserve">Wi-Fi traffic EB </t>
  </si>
  <si>
    <t>Wi-Fi electricity usage, TWh</t>
  </si>
  <si>
    <t>ELECTRICITY FIXED ACCESS Wi-Fi</t>
  </si>
  <si>
    <t>Expected 2020-2030</t>
  </si>
  <si>
    <t>Worst 2020-2030</t>
  </si>
  <si>
    <t>Fixed Access Wired Data traffic (EB/year), best, 13%CAGR</t>
  </si>
  <si>
    <t>Fixed Access Wi-Fi Data Traffic (EB/year), best, 25%CAGR</t>
  </si>
  <si>
    <t>Fixed Access Wired Data traffic (EB/year), expected 14% CAGR</t>
  </si>
  <si>
    <t>Fixed Access Wired Data traffic (EB/year), worst, 15%CAGR</t>
  </si>
  <si>
    <t>Fixed Access Wi-Fi Data Traffic (EB/year), expected, 30% CAGR</t>
  </si>
  <si>
    <t>Fixed Access Wi-Fi Data Traffic (EB/year), worst,  35%CAGR</t>
  </si>
  <si>
    <t>Ordinary mobile phones</t>
  </si>
  <si>
    <t>Ord mobile phones 1</t>
  </si>
  <si>
    <t>Ord mobile phones 2</t>
  </si>
  <si>
    <t>Ord mobile phones 3</t>
  </si>
  <si>
    <t>Share of global electricity
 usage in 2010</t>
  </si>
  <si>
    <t>Share of global 
electricity usage in 2030</t>
  </si>
  <si>
    <t>Worst Case (CAGR 13%)</t>
  </si>
  <si>
    <t>Share TV&amp;peripherals</t>
  </si>
  <si>
    <t>Global Data Center IP Traffic [138]</t>
  </si>
  <si>
    <t>2011-2016</t>
  </si>
  <si>
    <t>2012-2017</t>
  </si>
  <si>
    <t>Necessary EE (TWh/EB) in 2030 in order to use as little as in 2015:</t>
  </si>
  <si>
    <t>necessary 4G improvement</t>
  </si>
  <si>
    <t>foreseen 4G improvement 2015-2030</t>
  </si>
  <si>
    <t>EE (TWh/EB) 4G 2030 foreseen</t>
  </si>
  <si>
    <t>EE (TWh/EB) required 4G 2030</t>
  </si>
  <si>
    <t>Share WAN
 of Networks in 2030</t>
  </si>
  <si>
    <t>FAN+Data Centers of CT in 2030</t>
  </si>
  <si>
    <t>Data Centers share of CT in 2030</t>
  </si>
  <si>
    <t>FAN Wi-Fi share of CT in 2030</t>
  </si>
  <si>
    <t>Mobile broadband modems + Laptop</t>
  </si>
  <si>
    <t>"Triple play" Wireless router</t>
  </si>
  <si>
    <t>4K 3D video</t>
  </si>
  <si>
    <t>2K video</t>
  </si>
  <si>
    <t>Electricity efficiency overall WAN</t>
  </si>
  <si>
    <t>EE, TWh/EB, Table 2</t>
  </si>
  <si>
    <t>#</t>
  </si>
  <si>
    <t>kWh/km</t>
  </si>
  <si>
    <t>km</t>
  </si>
  <si>
    <t>Share BEV</t>
  </si>
  <si>
    <t>kWh BEV in 2030</t>
  </si>
  <si>
    <t>TWh BEV in 2030</t>
  </si>
  <si>
    <t>Annual Distance per car 2030</t>
  </si>
  <si>
    <t>Cars 2030</t>
  </si>
  <si>
    <t>BEV Share of total global 2030</t>
  </si>
  <si>
    <t>Electricity usage BEV 2030</t>
  </si>
  <si>
    <t>[201]</t>
  </si>
  <si>
    <t>BEV electricity in 2030</t>
  </si>
  <si>
    <t>Best Case (CAGR  0%)</t>
  </si>
  <si>
    <t>Expected (CAGR  3%)</t>
  </si>
  <si>
    <t>J/bit</t>
  </si>
  <si>
    <t>b/J</t>
  </si>
  <si>
    <t>Wireless access Best</t>
  </si>
  <si>
    <t>Wireless access Expected</t>
  </si>
  <si>
    <t>[10] Expected]</t>
  </si>
  <si>
    <t>Present expected</t>
  </si>
  <si>
    <t>Expected case [10]</t>
  </si>
  <si>
    <t>Extreme positive</t>
  </si>
  <si>
    <t>"Extreme positive" scenario factors</t>
  </si>
  <si>
    <t>Present expected scenario factors</t>
  </si>
  <si>
    <t>Values from [10] Supplementary Material, Sheet 'Future 2030' Cell B3:V3,  Expected (CAGR  7%)</t>
  </si>
  <si>
    <t>See Sheet 'Future 2030'</t>
  </si>
  <si>
    <t>Present expected scenario</t>
  </si>
  <si>
    <t>Obtained by using "extreme positive" factors for WAN, FAN, and Data Centers</t>
  </si>
  <si>
    <t>Figure 3</t>
  </si>
  <si>
    <t>Figure 4a</t>
  </si>
  <si>
    <t>Figure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</si>
</sst>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"/>
    <numFmt numFmtId="166" formatCode="0.0%"/>
    <numFmt numFmtId="167" formatCode="0.000"/>
    <numFmt numFmtId="168" formatCode="0.E+00"/>
    <numFmt numFmtId="169" formatCode="0.0E+00"/>
  </numFmts>
  <fonts count="69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sz val="13"/>
      <color indexed="20"/>
      <name val="Arial"/>
      <family val="2"/>
    </font>
    <font>
      <sz val="10"/>
      <color indexed="20"/>
      <name val="Verdana"/>
      <family val="2"/>
    </font>
    <font>
      <sz val="10"/>
      <color indexed="10"/>
      <name val="Verdana"/>
      <family val="2"/>
    </font>
    <font>
      <b/>
      <sz val="13"/>
      <color indexed="20"/>
      <name val="Arial"/>
      <family val="2"/>
    </font>
    <font>
      <b/>
      <sz val="10"/>
      <color indexed="20"/>
      <name val="Verdana"/>
      <family val="2"/>
    </font>
    <font>
      <sz val="11"/>
      <color indexed="62"/>
      <name val="Calibri"/>
      <family val="2"/>
    </font>
    <font>
      <sz val="13"/>
      <color indexed="8"/>
      <name val="Arial"/>
      <family val="2"/>
    </font>
    <font>
      <sz val="10"/>
      <color indexed="8"/>
      <name val="Verdana"/>
      <family val="2"/>
    </font>
    <font>
      <b/>
      <sz val="11"/>
      <color indexed="62"/>
      <name val="Calibri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1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Verdana"/>
      <family val="2"/>
    </font>
    <font>
      <b/>
      <sz val="10"/>
      <color rgb="FF00B050"/>
      <name val="Verdana"/>
      <family val="2"/>
    </font>
    <font>
      <i/>
      <sz val="11"/>
      <name val="Calibri"/>
      <family val="2"/>
    </font>
    <font>
      <i/>
      <sz val="10"/>
      <name val="Arial"/>
      <family val="2"/>
    </font>
    <font>
      <b/>
      <sz val="12"/>
      <color indexed="8"/>
      <name val="Verdana"/>
      <family val="2"/>
    </font>
    <font>
      <b/>
      <sz val="10"/>
      <color rgb="FF0070C0"/>
      <name val="Verdana"/>
      <family val="2"/>
    </font>
    <font>
      <b/>
      <i/>
      <sz val="10"/>
      <name val="Verdana"/>
      <family val="2"/>
    </font>
    <font>
      <b/>
      <i/>
      <sz val="10"/>
      <color rgb="FF0070C0"/>
      <name val="Verdana"/>
      <family val="2"/>
    </font>
    <font>
      <b/>
      <sz val="10"/>
      <color rgb="FF00B0F0"/>
      <name val="Verdan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Verdana"/>
      <family val="2"/>
    </font>
    <font>
      <u/>
      <sz val="10"/>
      <color theme="10"/>
      <name val="Verdan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24"/>
      <name val="Verdana"/>
      <family val="2"/>
    </font>
    <font>
      <b/>
      <sz val="26"/>
      <name val="Verdana"/>
      <family val="2"/>
    </font>
    <font>
      <b/>
      <sz val="9"/>
      <color rgb="FFFF0000"/>
      <name val="Verdana"/>
      <family val="2"/>
    </font>
    <font>
      <sz val="12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name val="Verdana"/>
      <family val="2"/>
    </font>
    <font>
      <sz val="14"/>
      <color rgb="FF9C6500"/>
      <name val="Calibri"/>
      <family val="2"/>
      <scheme val="minor"/>
    </font>
    <font>
      <sz val="14"/>
      <color rgb="FF9C0006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FF0000"/>
      <name val="Verdana"/>
      <family val="2"/>
    </font>
    <font>
      <sz val="12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46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2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0" applyNumberFormat="0" applyBorder="0" applyAlignment="0" applyProtection="0"/>
  </cellStyleXfs>
  <cellXfs count="352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4" fontId="6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right" wrapText="1"/>
    </xf>
    <xf numFmtId="0" fontId="8" fillId="2" borderId="0" xfId="0" applyFont="1" applyFill="1" applyAlignment="1">
      <alignment wrapText="1"/>
    </xf>
    <xf numFmtId="0" fontId="3" fillId="0" borderId="0" xfId="0" applyFont="1"/>
    <xf numFmtId="1" fontId="0" fillId="0" borderId="0" xfId="0" applyNumberFormat="1"/>
    <xf numFmtId="3" fontId="11" fillId="0" borderId="0" xfId="1" applyNumberFormat="1" applyFont="1"/>
    <xf numFmtId="166" fontId="0" fillId="0" borderId="0" xfId="0" applyNumberFormat="1"/>
    <xf numFmtId="1" fontId="1" fillId="0" borderId="0" xfId="0" applyNumberFormat="1" applyFont="1"/>
    <xf numFmtId="0" fontId="1" fillId="0" borderId="0" xfId="0" applyFont="1"/>
    <xf numFmtId="1" fontId="0" fillId="5" borderId="0" xfId="0" applyNumberFormat="1" applyFill="1"/>
    <xf numFmtId="4" fontId="0" fillId="0" borderId="0" xfId="0" applyNumberFormat="1"/>
    <xf numFmtId="1" fontId="0" fillId="0" borderId="0" xfId="0" applyNumberFormat="1"/>
    <xf numFmtId="0" fontId="4" fillId="6" borderId="0" xfId="0" applyFont="1" applyFill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6" fillId="3" borderId="0" xfId="0" applyFont="1" applyFill="1"/>
    <xf numFmtId="0" fontId="17" fillId="0" borderId="0" xfId="0" applyFont="1" applyAlignment="1">
      <alignment wrapText="1"/>
    </xf>
    <xf numFmtId="0" fontId="19" fillId="0" borderId="0" xfId="0" applyFont="1"/>
    <xf numFmtId="0" fontId="18" fillId="0" borderId="0" xfId="0" applyFont="1"/>
    <xf numFmtId="0" fontId="14" fillId="0" borderId="0" xfId="0" applyFont="1"/>
    <xf numFmtId="0" fontId="20" fillId="0" borderId="0" xfId="0" applyFont="1" applyAlignment="1">
      <alignment wrapText="1"/>
    </xf>
    <xf numFmtId="0" fontId="16" fillId="0" borderId="0" xfId="0" applyFont="1" applyFill="1" applyAlignment="1">
      <alignment horizontal="right"/>
    </xf>
    <xf numFmtId="0" fontId="15" fillId="3" borderId="0" xfId="0" applyFont="1" applyFill="1"/>
    <xf numFmtId="1" fontId="9" fillId="2" borderId="0" xfId="0" applyNumberFormat="1" applyFont="1" applyFill="1" applyAlignment="1">
      <alignment wrapText="1"/>
    </xf>
    <xf numFmtId="0" fontId="23" fillId="7" borderId="0" xfId="0" applyFont="1" applyFill="1" applyBorder="1" applyAlignment="1">
      <alignment wrapText="1"/>
    </xf>
    <xf numFmtId="0" fontId="2" fillId="0" borderId="0" xfId="0" applyFont="1"/>
    <xf numFmtId="0" fontId="10" fillId="0" borderId="0" xfId="2" applyFont="1"/>
    <xf numFmtId="0" fontId="2" fillId="0" borderId="0" xfId="2" applyFont="1"/>
    <xf numFmtId="167" fontId="25" fillId="8" borderId="0" xfId="0" applyNumberFormat="1" applyFont="1" applyFill="1" applyBorder="1"/>
    <xf numFmtId="9" fontId="0" fillId="5" borderId="0" xfId="0" applyNumberFormat="1" applyFill="1"/>
    <xf numFmtId="0" fontId="29" fillId="0" borderId="0" xfId="2" applyFont="1"/>
    <xf numFmtId="0" fontId="10" fillId="0" borderId="0" xfId="1"/>
    <xf numFmtId="2" fontId="10" fillId="0" borderId="0" xfId="1" applyNumberFormat="1"/>
    <xf numFmtId="10" fontId="10" fillId="0" borderId="0" xfId="1" applyNumberFormat="1"/>
    <xf numFmtId="1" fontId="10" fillId="0" borderId="0" xfId="1" applyNumberFormat="1"/>
    <xf numFmtId="0" fontId="26" fillId="0" borderId="0" xfId="1" applyFont="1"/>
    <xf numFmtId="0" fontId="22" fillId="0" borderId="0" xfId="0" applyFont="1"/>
    <xf numFmtId="0" fontId="30" fillId="0" borderId="0" xfId="0" applyFont="1"/>
    <xf numFmtId="0" fontId="2" fillId="0" borderId="0" xfId="0" applyFont="1" applyFill="1" applyBorder="1"/>
    <xf numFmtId="0" fontId="2" fillId="0" borderId="0" xfId="2" applyFont="1" applyAlignment="1">
      <alignment wrapText="1"/>
    </xf>
    <xf numFmtId="164" fontId="2" fillId="0" borderId="0" xfId="2" applyNumberFormat="1" applyFont="1" applyAlignment="1">
      <alignment wrapText="1"/>
    </xf>
    <xf numFmtId="0" fontId="2" fillId="0" borderId="0" xfId="2" applyFont="1" applyAlignment="1">
      <alignment horizontal="right" wrapText="1"/>
    </xf>
    <xf numFmtId="1" fontId="10" fillId="0" borderId="0" xfId="1" applyNumberFormat="1" applyFill="1"/>
    <xf numFmtId="0" fontId="10" fillId="0" borderId="0" xfId="1" applyFill="1"/>
    <xf numFmtId="2" fontId="2" fillId="0" borderId="0" xfId="2" applyNumberFormat="1" applyFont="1" applyAlignment="1">
      <alignment wrapText="1"/>
    </xf>
    <xf numFmtId="0" fontId="1" fillId="0" borderId="0" xfId="2" applyFont="1" applyAlignment="1">
      <alignment wrapText="1"/>
    </xf>
    <xf numFmtId="2" fontId="2" fillId="0" borderId="0" xfId="2" applyNumberFormat="1" applyFont="1" applyAlignment="1">
      <alignment horizontal="right" wrapText="1"/>
    </xf>
    <xf numFmtId="2" fontId="2" fillId="0" borderId="0" xfId="2" applyNumberFormat="1" applyFont="1"/>
    <xf numFmtId="0" fontId="31" fillId="0" borderId="0" xfId="1" applyFont="1"/>
    <xf numFmtId="0" fontId="32" fillId="0" borderId="0" xfId="1" applyFont="1"/>
    <xf numFmtId="1" fontId="3" fillId="0" borderId="0" xfId="0" applyNumberFormat="1" applyFont="1"/>
    <xf numFmtId="1" fontId="11" fillId="0" borderId="0" xfId="1" applyNumberFormat="1" applyFont="1"/>
    <xf numFmtId="0" fontId="2" fillId="0" borderId="0" xfId="0" applyFont="1" applyAlignment="1">
      <alignment horizontal="right" wrapText="1"/>
    </xf>
    <xf numFmtId="0" fontId="24" fillId="0" borderId="0" xfId="0" applyFont="1"/>
    <xf numFmtId="1" fontId="33" fillId="0" borderId="0" xfId="0" applyNumberFormat="1" applyFont="1"/>
    <xf numFmtId="1" fontId="24" fillId="0" borderId="0" xfId="0" applyNumberFormat="1" applyFont="1"/>
    <xf numFmtId="0" fontId="25" fillId="0" borderId="0" xfId="0" applyFont="1"/>
    <xf numFmtId="1" fontId="25" fillId="0" borderId="0" xfId="0" applyNumberFormat="1" applyFont="1"/>
    <xf numFmtId="165" fontId="2" fillId="0" borderId="0" xfId="2" applyNumberFormat="1" applyFont="1" applyAlignment="1">
      <alignment wrapText="1"/>
    </xf>
    <xf numFmtId="0" fontId="1" fillId="0" borderId="0" xfId="2" applyFont="1" applyAlignment="1">
      <alignment horizontal="center"/>
    </xf>
    <xf numFmtId="0" fontId="10" fillId="0" borderId="0" xfId="2" applyFont="1" applyAlignment="1">
      <alignment wrapText="1"/>
    </xf>
    <xf numFmtId="10" fontId="10" fillId="0" borderId="0" xfId="2" applyNumberFormat="1" applyFont="1" applyAlignment="1">
      <alignment wrapText="1"/>
    </xf>
    <xf numFmtId="0" fontId="29" fillId="0" borderId="0" xfId="2" applyFont="1" applyAlignment="1">
      <alignment wrapText="1"/>
    </xf>
    <xf numFmtId="0" fontId="35" fillId="0" borderId="0" xfId="2" applyFont="1" applyAlignment="1">
      <alignment wrapText="1"/>
    </xf>
    <xf numFmtId="165" fontId="29" fillId="0" borderId="0" xfId="2" applyNumberFormat="1" applyFont="1" applyAlignment="1">
      <alignment wrapText="1"/>
    </xf>
    <xf numFmtId="165" fontId="29" fillId="0" borderId="0" xfId="2" applyNumberFormat="1" applyFont="1"/>
    <xf numFmtId="0" fontId="21" fillId="0" borderId="0" xfId="2" applyFont="1" applyAlignment="1">
      <alignment wrapText="1"/>
    </xf>
    <xf numFmtId="0" fontId="37" fillId="0" borderId="0" xfId="2" applyFont="1" applyAlignment="1">
      <alignment wrapText="1"/>
    </xf>
    <xf numFmtId="165" fontId="21" fillId="0" borderId="0" xfId="2" applyNumberFormat="1" applyFont="1" applyAlignment="1">
      <alignment wrapText="1"/>
    </xf>
    <xf numFmtId="0" fontId="2" fillId="0" borderId="2" xfId="2" applyFont="1" applyBorder="1" applyAlignment="1">
      <alignment wrapText="1"/>
    </xf>
    <xf numFmtId="0" fontId="2" fillId="0" borderId="0" xfId="2" applyFont="1" applyFill="1" applyAlignment="1">
      <alignment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/>
    <xf numFmtId="0" fontId="2" fillId="0" borderId="0" xfId="2" applyFont="1" applyFill="1"/>
    <xf numFmtId="0" fontId="2" fillId="3" borderId="0" xfId="2" applyFont="1" applyFill="1" applyBorder="1" applyAlignment="1">
      <alignment wrapText="1"/>
    </xf>
    <xf numFmtId="1" fontId="2" fillId="3" borderId="0" xfId="2" applyNumberFormat="1" applyFont="1" applyFill="1" applyBorder="1" applyAlignment="1">
      <alignment wrapText="1"/>
    </xf>
    <xf numFmtId="1" fontId="2" fillId="0" borderId="0" xfId="2" applyNumberFormat="1" applyFont="1" applyAlignment="1">
      <alignment wrapText="1"/>
    </xf>
    <xf numFmtId="1" fontId="1" fillId="0" borderId="0" xfId="2" applyNumberFormat="1" applyFont="1" applyFill="1" applyAlignment="1">
      <alignment wrapText="1"/>
    </xf>
    <xf numFmtId="1" fontId="2" fillId="0" borderId="0" xfId="2" applyNumberFormat="1" applyFont="1"/>
    <xf numFmtId="0" fontId="1" fillId="4" borderId="3" xfId="2" applyFont="1" applyFill="1" applyBorder="1" applyAlignment="1">
      <alignment horizontal="right" wrapText="1"/>
    </xf>
    <xf numFmtId="0" fontId="1" fillId="4" borderId="1" xfId="2" applyFont="1" applyFill="1" applyBorder="1" applyAlignment="1">
      <alignment horizontal="right" wrapText="1"/>
    </xf>
    <xf numFmtId="0" fontId="2" fillId="4" borderId="0" xfId="2" applyFont="1" applyFill="1" applyBorder="1" applyAlignment="1">
      <alignment wrapText="1"/>
    </xf>
    <xf numFmtId="0" fontId="2" fillId="4" borderId="1" xfId="2" applyFont="1" applyFill="1" applyBorder="1" applyAlignment="1">
      <alignment wrapText="1"/>
    </xf>
    <xf numFmtId="0" fontId="2" fillId="4" borderId="5" xfId="2" applyFont="1" applyFill="1" applyBorder="1" applyAlignment="1">
      <alignment wrapText="1"/>
    </xf>
    <xf numFmtId="0" fontId="2" fillId="0" borderId="0" xfId="2" applyFont="1" applyBorder="1" applyAlignment="1">
      <alignment wrapText="1"/>
    </xf>
    <xf numFmtId="0" fontId="1" fillId="0" borderId="0" xfId="2" applyFont="1" applyAlignment="1">
      <alignment horizontal="right" wrapText="1"/>
    </xf>
    <xf numFmtId="164" fontId="2" fillId="0" borderId="0" xfId="2" applyNumberFormat="1" applyFont="1"/>
    <xf numFmtId="0" fontId="1" fillId="0" borderId="0" xfId="2" applyFont="1" applyAlignment="1">
      <alignment horizontal="right"/>
    </xf>
    <xf numFmtId="0" fontId="26" fillId="0" borderId="0" xfId="2" applyFont="1" applyAlignment="1">
      <alignment horizontal="center" wrapText="1"/>
    </xf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1" fontId="4" fillId="0" borderId="0" xfId="0" applyNumberFormat="1" applyFont="1" applyFill="1" applyBorder="1"/>
    <xf numFmtId="3" fontId="0" fillId="0" borderId="0" xfId="0" applyNumberFormat="1" applyFill="1" applyBorder="1"/>
    <xf numFmtId="0" fontId="4" fillId="0" borderId="0" xfId="0" applyFont="1" applyFill="1" applyBorder="1"/>
    <xf numFmtId="3" fontId="0" fillId="0" borderId="0" xfId="0" applyNumberFormat="1" applyFill="1" applyBorder="1" applyAlignment="1">
      <alignment wrapText="1"/>
    </xf>
    <xf numFmtId="3" fontId="1" fillId="0" borderId="0" xfId="0" applyNumberFormat="1" applyFont="1" applyFill="1" applyBorder="1" applyAlignment="1">
      <alignment wrapText="1"/>
    </xf>
    <xf numFmtId="0" fontId="21" fillId="0" borderId="0" xfId="0" applyFont="1"/>
    <xf numFmtId="1" fontId="39" fillId="0" borderId="0" xfId="1" applyNumberFormat="1" applyFont="1"/>
    <xf numFmtId="1" fontId="26" fillId="0" borderId="0" xfId="1" applyNumberFormat="1" applyFont="1"/>
    <xf numFmtId="165" fontId="40" fillId="0" borderId="0" xfId="2" applyNumberFormat="1" applyFont="1" applyAlignment="1">
      <alignment wrapText="1"/>
    </xf>
    <xf numFmtId="1" fontId="29" fillId="0" borderId="0" xfId="2" applyNumberFormat="1" applyFont="1"/>
    <xf numFmtId="1" fontId="40" fillId="0" borderId="0" xfId="2" applyNumberFormat="1" applyFont="1"/>
    <xf numFmtId="9" fontId="2" fillId="0" borderId="0" xfId="2" applyNumberFormat="1" applyFont="1" applyAlignment="1">
      <alignment wrapText="1"/>
    </xf>
    <xf numFmtId="9" fontId="2" fillId="0" borderId="0" xfId="2" applyNumberFormat="1" applyFont="1"/>
    <xf numFmtId="0" fontId="32" fillId="0" borderId="0" xfId="1" applyFont="1" applyFill="1"/>
    <xf numFmtId="0" fontId="38" fillId="0" borderId="0" xfId="1" applyFont="1"/>
    <xf numFmtId="1" fontId="1" fillId="0" borderId="0" xfId="2" applyNumberFormat="1" applyFont="1"/>
    <xf numFmtId="0" fontId="22" fillId="0" borderId="0" xfId="2" applyFont="1" applyAlignment="1">
      <alignment horizontal="center"/>
    </xf>
    <xf numFmtId="0" fontId="41" fillId="0" borderId="0" xfId="3" applyAlignment="1" applyProtection="1"/>
    <xf numFmtId="2" fontId="38" fillId="0" borderId="0" xfId="1" applyNumberFormat="1" applyFont="1"/>
    <xf numFmtId="11" fontId="10" fillId="0" borderId="0" xfId="1" applyNumberFormat="1"/>
    <xf numFmtId="1" fontId="29" fillId="0" borderId="0" xfId="0" applyNumberFormat="1" applyFont="1"/>
    <xf numFmtId="1" fontId="1" fillId="0" borderId="0" xfId="2" applyNumberFormat="1" applyFont="1" applyAlignment="1">
      <alignment wrapText="1"/>
    </xf>
    <xf numFmtId="1" fontId="1" fillId="3" borderId="0" xfId="2" applyNumberFormat="1" applyFont="1" applyFill="1" applyBorder="1" applyAlignment="1">
      <alignment wrapText="1"/>
    </xf>
    <xf numFmtId="0" fontId="35" fillId="0" borderId="0" xfId="2" applyFont="1" applyAlignment="1">
      <alignment horizontal="center"/>
    </xf>
    <xf numFmtId="0" fontId="1" fillId="0" borderId="0" xfId="2" applyFont="1"/>
    <xf numFmtId="167" fontId="25" fillId="0" borderId="0" xfId="0" applyNumberFormat="1" applyFont="1" applyFill="1" applyBorder="1"/>
    <xf numFmtId="165" fontId="25" fillId="0" borderId="0" xfId="0" applyNumberFormat="1" applyFont="1" applyFill="1" applyBorder="1"/>
    <xf numFmtId="0" fontId="45" fillId="0" borderId="0" xfId="2" applyFont="1"/>
    <xf numFmtId="0" fontId="46" fillId="0" borderId="0" xfId="2" applyFont="1" applyAlignment="1">
      <alignment horizontal="center"/>
    </xf>
    <xf numFmtId="1" fontId="21" fillId="0" borderId="0" xfId="2" applyNumberFormat="1" applyFont="1" applyAlignment="1">
      <alignment wrapText="1"/>
    </xf>
    <xf numFmtId="0" fontId="47" fillId="0" borderId="0" xfId="0" applyFont="1" applyAlignment="1">
      <alignment horizontal="center"/>
    </xf>
    <xf numFmtId="0" fontId="26" fillId="0" borderId="0" xfId="1" applyFont="1" applyFill="1"/>
    <xf numFmtId="0" fontId="38" fillId="0" borderId="0" xfId="1" applyFont="1" applyFill="1"/>
    <xf numFmtId="1" fontId="32" fillId="0" borderId="0" xfId="1" applyNumberFormat="1" applyFont="1" applyFill="1"/>
    <xf numFmtId="0" fontId="42" fillId="9" borderId="0" xfId="4"/>
    <xf numFmtId="1" fontId="42" fillId="9" borderId="0" xfId="4" applyNumberFormat="1"/>
    <xf numFmtId="1" fontId="43" fillId="10" borderId="0" xfId="5" applyNumberFormat="1"/>
    <xf numFmtId="0" fontId="43" fillId="10" borderId="0" xfId="5"/>
    <xf numFmtId="0" fontId="44" fillId="11" borderId="0" xfId="6"/>
    <xf numFmtId="1" fontId="44" fillId="11" borderId="0" xfId="6" applyNumberFormat="1"/>
    <xf numFmtId="1" fontId="48" fillId="11" borderId="0" xfId="6" applyNumberFormat="1" applyFont="1" applyAlignment="1">
      <alignment horizontal="right"/>
    </xf>
    <xf numFmtId="1" fontId="49" fillId="9" borderId="0" xfId="4" applyNumberFormat="1" applyFont="1"/>
    <xf numFmtId="1" fontId="0" fillId="0" borderId="0" xfId="0" applyNumberFormat="1" applyFill="1"/>
    <xf numFmtId="0" fontId="0" fillId="0" borderId="0" xfId="0" applyFill="1"/>
    <xf numFmtId="0" fontId="42" fillId="9" borderId="0" xfId="4" quotePrefix="1"/>
    <xf numFmtId="165" fontId="42" fillId="9" borderId="0" xfId="4" applyNumberFormat="1"/>
    <xf numFmtId="165" fontId="44" fillId="11" borderId="0" xfId="6" applyNumberFormat="1"/>
    <xf numFmtId="165" fontId="43" fillId="10" borderId="0" xfId="5" applyNumberFormat="1"/>
    <xf numFmtId="0" fontId="42" fillId="9" borderId="0" xfId="4" applyBorder="1"/>
    <xf numFmtId="0" fontId="44" fillId="11" borderId="0" xfId="6" applyBorder="1"/>
    <xf numFmtId="0" fontId="43" fillId="10" borderId="0" xfId="5" applyBorder="1"/>
    <xf numFmtId="1" fontId="44" fillId="11" borderId="0" xfId="6" applyNumberFormat="1" applyBorder="1"/>
    <xf numFmtId="0" fontId="52" fillId="9" borderId="0" xfId="4" applyFont="1" applyBorder="1"/>
    <xf numFmtId="0" fontId="53" fillId="0" borderId="0" xfId="0" applyFont="1" applyBorder="1"/>
    <xf numFmtId="0" fontId="54" fillId="11" borderId="0" xfId="6" applyFont="1" applyBorder="1"/>
    <xf numFmtId="166" fontId="54" fillId="11" borderId="0" xfId="6" applyNumberFormat="1" applyFont="1" applyBorder="1"/>
    <xf numFmtId="1" fontId="52" fillId="9" borderId="0" xfId="4" applyNumberFormat="1" applyFont="1" applyBorder="1"/>
    <xf numFmtId="166" fontId="52" fillId="9" borderId="0" xfId="4" applyNumberFormat="1" applyFont="1" applyBorder="1"/>
    <xf numFmtId="1" fontId="54" fillId="11" borderId="0" xfId="6" applyNumberFormat="1" applyFont="1" applyBorder="1"/>
    <xf numFmtId="1" fontId="56" fillId="9" borderId="0" xfId="4" applyNumberFormat="1" applyFont="1" applyBorder="1"/>
    <xf numFmtId="165" fontId="52" fillId="9" borderId="0" xfId="4" applyNumberFormat="1" applyFont="1" applyBorder="1"/>
    <xf numFmtId="165" fontId="54" fillId="11" borderId="0" xfId="6" applyNumberFormat="1" applyFont="1" applyBorder="1"/>
    <xf numFmtId="1" fontId="57" fillId="11" borderId="0" xfId="6" applyNumberFormat="1" applyFont="1" applyBorder="1"/>
    <xf numFmtId="9" fontId="52" fillId="9" borderId="0" xfId="4" applyNumberFormat="1" applyFont="1" applyBorder="1"/>
    <xf numFmtId="9" fontId="54" fillId="11" borderId="0" xfId="6" applyNumberFormat="1" applyFont="1" applyBorder="1"/>
    <xf numFmtId="0" fontId="49" fillId="9" borderId="0" xfId="4" applyFont="1"/>
    <xf numFmtId="166" fontId="49" fillId="9" borderId="0" xfId="4" applyNumberFormat="1" applyFont="1"/>
    <xf numFmtId="0" fontId="48" fillId="11" borderId="0" xfId="6" applyFont="1"/>
    <xf numFmtId="166" fontId="48" fillId="11" borderId="0" xfId="6" applyNumberFormat="1" applyFont="1"/>
    <xf numFmtId="0" fontId="51" fillId="10" borderId="0" xfId="5" applyFont="1"/>
    <xf numFmtId="166" fontId="51" fillId="10" borderId="0" xfId="5" applyNumberFormat="1" applyFont="1"/>
    <xf numFmtId="9" fontId="42" fillId="9" borderId="0" xfId="4" applyNumberFormat="1"/>
    <xf numFmtId="9" fontId="44" fillId="11" borderId="0" xfId="6" applyNumberFormat="1"/>
    <xf numFmtId="9" fontId="43" fillId="10" borderId="0" xfId="5" applyNumberFormat="1"/>
    <xf numFmtId="0" fontId="5" fillId="0" borderId="0" xfId="0" applyFont="1" applyFill="1" applyBorder="1" applyAlignment="1">
      <alignment horizontal="right" wrapText="1"/>
    </xf>
    <xf numFmtId="1" fontId="0" fillId="0" borderId="0" xfId="0" applyNumberFormat="1" applyFill="1" applyBorder="1"/>
    <xf numFmtId="4" fontId="0" fillId="0" borderId="0" xfId="0" applyNumberFormat="1" applyFill="1" applyBorder="1"/>
    <xf numFmtId="2" fontId="0" fillId="0" borderId="0" xfId="0" applyNumberFormat="1" applyFill="1" applyBorder="1"/>
    <xf numFmtId="1" fontId="10" fillId="0" borderId="0" xfId="0" applyNumberFormat="1" applyFont="1" applyFill="1" applyBorder="1" applyAlignment="1">
      <alignment horizontal="right" indent="2"/>
    </xf>
    <xf numFmtId="9" fontId="0" fillId="0" borderId="0" xfId="0" applyNumberFormat="1" applyFill="1" applyBorder="1"/>
    <xf numFmtId="1" fontId="1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164" fontId="2" fillId="0" borderId="0" xfId="2" applyNumberFormat="1" applyFont="1" applyFill="1"/>
    <xf numFmtId="0" fontId="1" fillId="0" borderId="0" xfId="2" applyFont="1" applyFill="1" applyAlignment="1">
      <alignment horizontal="right" wrapText="1"/>
    </xf>
    <xf numFmtId="166" fontId="2" fillId="0" borderId="0" xfId="2" applyNumberFormat="1" applyFont="1" applyFill="1" applyBorder="1"/>
    <xf numFmtId="2" fontId="2" fillId="0" borderId="0" xfId="2" applyNumberFormat="1" applyFont="1" applyFill="1" applyBorder="1"/>
    <xf numFmtId="0" fontId="6" fillId="0" borderId="0" xfId="0" applyFont="1" applyFill="1" applyAlignment="1">
      <alignment wrapText="1"/>
    </xf>
    <xf numFmtId="0" fontId="42" fillId="9" borderId="8" xfId="4" applyBorder="1" applyAlignment="1">
      <alignment wrapText="1"/>
    </xf>
    <xf numFmtId="166" fontId="42" fillId="9" borderId="9" xfId="4" applyNumberFormat="1" applyBorder="1" applyAlignment="1">
      <alignment wrapText="1"/>
    </xf>
    <xf numFmtId="0" fontId="44" fillId="11" borderId="8" xfId="6" applyBorder="1"/>
    <xf numFmtId="166" fontId="44" fillId="11" borderId="9" xfId="6" applyNumberFormat="1" applyBorder="1"/>
    <xf numFmtId="0" fontId="43" fillId="10" borderId="8" xfId="5" applyBorder="1"/>
    <xf numFmtId="166" fontId="43" fillId="10" borderId="9" xfId="5" applyNumberFormat="1" applyBorder="1"/>
    <xf numFmtId="1" fontId="42" fillId="9" borderId="0" xfId="4" applyNumberFormat="1" applyAlignment="1">
      <alignment wrapText="1"/>
    </xf>
    <xf numFmtId="1" fontId="44" fillId="11" borderId="0" xfId="6" applyNumberFormat="1" applyAlignment="1">
      <alignment wrapText="1"/>
    </xf>
    <xf numFmtId="1" fontId="43" fillId="10" borderId="0" xfId="5" applyNumberFormat="1" applyAlignment="1">
      <alignment wrapText="1"/>
    </xf>
    <xf numFmtId="1" fontId="42" fillId="9" borderId="12" xfId="4" applyNumberFormat="1" applyBorder="1" applyAlignment="1">
      <alignment wrapText="1"/>
    </xf>
    <xf numFmtId="1" fontId="44" fillId="11" borderId="12" xfId="6" applyNumberFormat="1" applyBorder="1" applyAlignment="1">
      <alignment wrapText="1"/>
    </xf>
    <xf numFmtId="1" fontId="43" fillId="10" borderId="12" xfId="5" applyNumberFormat="1" applyBorder="1"/>
    <xf numFmtId="1" fontId="43" fillId="10" borderId="12" xfId="5" applyNumberFormat="1" applyBorder="1" applyAlignment="1">
      <alignment wrapText="1"/>
    </xf>
    <xf numFmtId="0" fontId="42" fillId="9" borderId="4" xfId="4" applyBorder="1" applyAlignment="1">
      <alignment wrapText="1"/>
    </xf>
    <xf numFmtId="0" fontId="42" fillId="9" borderId="4" xfId="4" quotePrefix="1" applyBorder="1" applyAlignment="1">
      <alignment wrapText="1"/>
    </xf>
    <xf numFmtId="1" fontId="42" fillId="9" borderId="4" xfId="4" quotePrefix="1" applyNumberFormat="1" applyBorder="1" applyAlignment="1">
      <alignment wrapText="1"/>
    </xf>
    <xf numFmtId="0" fontId="42" fillId="9" borderId="0" xfId="4" applyBorder="1" applyAlignment="1">
      <alignment wrapText="1"/>
    </xf>
    <xf numFmtId="0" fontId="42" fillId="9" borderId="0" xfId="4" quotePrefix="1" applyBorder="1" applyAlignment="1">
      <alignment wrapText="1"/>
    </xf>
    <xf numFmtId="1" fontId="42" fillId="9" borderId="0" xfId="4" quotePrefix="1" applyNumberFormat="1" applyBorder="1" applyAlignment="1">
      <alignment wrapText="1"/>
    </xf>
    <xf numFmtId="1" fontId="42" fillId="9" borderId="0" xfId="4" applyNumberFormat="1" applyBorder="1" applyAlignment="1">
      <alignment wrapText="1"/>
    </xf>
    <xf numFmtId="0" fontId="42" fillId="9" borderId="2" xfId="4" applyBorder="1"/>
    <xf numFmtId="0" fontId="42" fillId="9" borderId="6" xfId="4" applyBorder="1" applyAlignment="1">
      <alignment wrapText="1"/>
    </xf>
    <xf numFmtId="167" fontId="42" fillId="9" borderId="6" xfId="4" applyNumberFormat="1" applyBorder="1" applyAlignment="1">
      <alignment wrapText="1"/>
    </xf>
    <xf numFmtId="167" fontId="42" fillId="9" borderId="7" xfId="4" applyNumberFormat="1" applyBorder="1"/>
    <xf numFmtId="0" fontId="42" fillId="9" borderId="7" xfId="4" applyBorder="1"/>
    <xf numFmtId="0" fontId="50" fillId="9" borderId="0" xfId="4" applyFont="1" applyBorder="1" applyAlignment="1">
      <alignment wrapText="1"/>
    </xf>
    <xf numFmtId="1" fontId="50" fillId="9" borderId="0" xfId="4" applyNumberFormat="1" applyFont="1" applyBorder="1" applyAlignment="1">
      <alignment wrapText="1"/>
    </xf>
    <xf numFmtId="0" fontId="44" fillId="11" borderId="4" xfId="6" applyBorder="1" applyAlignment="1">
      <alignment wrapText="1"/>
    </xf>
    <xf numFmtId="1" fontId="44" fillId="11" borderId="4" xfId="6" quotePrefix="1" applyNumberFormat="1" applyBorder="1" applyAlignment="1">
      <alignment wrapText="1"/>
    </xf>
    <xf numFmtId="1" fontId="44" fillId="11" borderId="4" xfId="6" applyNumberFormat="1" applyBorder="1" applyAlignment="1">
      <alignment wrapText="1"/>
    </xf>
    <xf numFmtId="0" fontId="44" fillId="11" borderId="0" xfId="6" applyBorder="1" applyAlignment="1">
      <alignment wrapText="1"/>
    </xf>
    <xf numFmtId="1" fontId="44" fillId="11" borderId="0" xfId="6" applyNumberFormat="1" applyBorder="1" applyAlignment="1">
      <alignment wrapText="1"/>
    </xf>
    <xf numFmtId="0" fontId="44" fillId="11" borderId="6" xfId="6" applyBorder="1" applyAlignment="1">
      <alignment wrapText="1"/>
    </xf>
    <xf numFmtId="167" fontId="44" fillId="11" borderId="6" xfId="6" applyNumberFormat="1" applyBorder="1" applyAlignment="1">
      <alignment wrapText="1"/>
    </xf>
    <xf numFmtId="0" fontId="59" fillId="11" borderId="4" xfId="6" applyFont="1" applyBorder="1" applyAlignment="1">
      <alignment wrapText="1"/>
    </xf>
    <xf numFmtId="1" fontId="59" fillId="11" borderId="0" xfId="6" applyNumberFormat="1" applyFont="1" applyBorder="1" applyAlignment="1">
      <alignment wrapText="1"/>
    </xf>
    <xf numFmtId="0" fontId="43" fillId="10" borderId="4" xfId="5" applyBorder="1" applyAlignment="1">
      <alignment wrapText="1"/>
    </xf>
    <xf numFmtId="0" fontId="43" fillId="10" borderId="4" xfId="5" quotePrefix="1" applyBorder="1" applyAlignment="1">
      <alignment wrapText="1"/>
    </xf>
    <xf numFmtId="1" fontId="43" fillId="10" borderId="4" xfId="5" quotePrefix="1" applyNumberFormat="1" applyBorder="1" applyAlignment="1">
      <alignment wrapText="1"/>
    </xf>
    <xf numFmtId="0" fontId="43" fillId="10" borderId="0" xfId="5" applyBorder="1" applyAlignment="1">
      <alignment wrapText="1"/>
    </xf>
    <xf numFmtId="1" fontId="43" fillId="10" borderId="0" xfId="5" quotePrefix="1" applyNumberFormat="1" applyBorder="1" applyAlignment="1">
      <alignment wrapText="1"/>
    </xf>
    <xf numFmtId="1" fontId="43" fillId="10" borderId="0" xfId="5" applyNumberFormat="1" applyBorder="1" applyAlignment="1">
      <alignment wrapText="1"/>
    </xf>
    <xf numFmtId="0" fontId="43" fillId="10" borderId="2" xfId="5" applyBorder="1"/>
    <xf numFmtId="0" fontId="43" fillId="10" borderId="6" xfId="5" applyBorder="1" applyAlignment="1">
      <alignment wrapText="1"/>
    </xf>
    <xf numFmtId="167" fontId="43" fillId="10" borderId="6" xfId="5" applyNumberFormat="1" applyBorder="1" applyAlignment="1">
      <alignment wrapText="1"/>
    </xf>
    <xf numFmtId="1" fontId="60" fillId="10" borderId="0" xfId="5" applyNumberFormat="1" applyFont="1" applyBorder="1" applyAlignment="1">
      <alignment wrapText="1"/>
    </xf>
    <xf numFmtId="165" fontId="44" fillId="11" borderId="0" xfId="6" applyNumberFormat="1" applyAlignment="1">
      <alignment wrapText="1"/>
    </xf>
    <xf numFmtId="0" fontId="44" fillId="11" borderId="0" xfId="6" applyAlignment="1">
      <alignment wrapText="1"/>
    </xf>
    <xf numFmtId="165" fontId="42" fillId="9" borderId="0" xfId="4" applyNumberFormat="1" applyAlignment="1">
      <alignment wrapText="1"/>
    </xf>
    <xf numFmtId="0" fontId="42" fillId="9" borderId="0" xfId="4" applyAlignment="1">
      <alignment wrapText="1"/>
    </xf>
    <xf numFmtId="165" fontId="43" fillId="10" borderId="0" xfId="5" applyNumberFormat="1" applyAlignment="1">
      <alignment wrapText="1"/>
    </xf>
    <xf numFmtId="0" fontId="43" fillId="10" borderId="0" xfId="5" applyAlignment="1">
      <alignment wrapText="1"/>
    </xf>
    <xf numFmtId="1" fontId="43" fillId="0" borderId="0" xfId="5" applyNumberFormat="1" applyFill="1"/>
    <xf numFmtId="0" fontId="43" fillId="0" borderId="0" xfId="5" applyFill="1"/>
    <xf numFmtId="166" fontId="49" fillId="0" borderId="0" xfId="4" applyNumberFormat="1" applyFont="1" applyFill="1"/>
    <xf numFmtId="0" fontId="44" fillId="0" borderId="11" xfId="6" applyFill="1" applyBorder="1"/>
    <xf numFmtId="166" fontId="44" fillId="0" borderId="0" xfId="6" applyNumberFormat="1" applyFill="1" applyBorder="1"/>
    <xf numFmtId="0" fontId="44" fillId="0" borderId="0" xfId="6" applyFill="1"/>
    <xf numFmtId="0" fontId="43" fillId="0" borderId="11" xfId="5" applyFill="1" applyBorder="1"/>
    <xf numFmtId="166" fontId="43" fillId="0" borderId="0" xfId="5" applyNumberFormat="1" applyFill="1" applyBorder="1"/>
    <xf numFmtId="0" fontId="42" fillId="0" borderId="11" xfId="4" applyFill="1" applyBorder="1"/>
    <xf numFmtId="1" fontId="42" fillId="0" borderId="0" xfId="4" applyNumberFormat="1" applyFill="1" applyBorder="1"/>
    <xf numFmtId="0" fontId="42" fillId="0" borderId="0" xfId="4" applyFill="1"/>
    <xf numFmtId="1" fontId="44" fillId="0" borderId="0" xfId="6" applyNumberFormat="1" applyFill="1" applyBorder="1"/>
    <xf numFmtId="1" fontId="43" fillId="0" borderId="0" xfId="5" applyNumberFormat="1" applyFill="1" applyBorder="1"/>
    <xf numFmtId="167" fontId="42" fillId="0" borderId="11" xfId="4" applyNumberFormat="1" applyFill="1" applyBorder="1"/>
    <xf numFmtId="167" fontId="42" fillId="0" borderId="0" xfId="4" applyNumberFormat="1" applyFill="1"/>
    <xf numFmtId="2" fontId="43" fillId="0" borderId="0" xfId="5" applyNumberFormat="1" applyFill="1" applyBorder="1"/>
    <xf numFmtId="0" fontId="50" fillId="0" borderId="11" xfId="4" applyFont="1" applyFill="1" applyBorder="1"/>
    <xf numFmtId="2" fontId="50" fillId="0" borderId="0" xfId="4" applyNumberFormat="1" applyFont="1" applyFill="1" applyBorder="1"/>
    <xf numFmtId="0" fontId="59" fillId="0" borderId="11" xfId="6" applyFont="1" applyFill="1" applyBorder="1"/>
    <xf numFmtId="2" fontId="59" fillId="0" borderId="0" xfId="6" applyNumberFormat="1" applyFont="1" applyFill="1" applyBorder="1"/>
    <xf numFmtId="0" fontId="60" fillId="0" borderId="11" xfId="5" applyFont="1" applyFill="1" applyBorder="1"/>
    <xf numFmtId="2" fontId="60" fillId="0" borderId="0" xfId="5" applyNumberFormat="1" applyFont="1" applyFill="1" applyBorder="1"/>
    <xf numFmtId="2" fontId="42" fillId="9" borderId="0" xfId="4" applyNumberFormat="1" applyAlignment="1">
      <alignment wrapText="1"/>
    </xf>
    <xf numFmtId="2" fontId="44" fillId="11" borderId="0" xfId="6" applyNumberFormat="1" applyAlignment="1">
      <alignment wrapText="1"/>
    </xf>
    <xf numFmtId="2" fontId="43" fillId="10" borderId="0" xfId="5" applyNumberFormat="1" applyAlignment="1">
      <alignment wrapText="1"/>
    </xf>
    <xf numFmtId="166" fontId="2" fillId="0" borderId="0" xfId="2" applyNumberFormat="1" applyFont="1"/>
    <xf numFmtId="10" fontId="2" fillId="0" borderId="0" xfId="2" applyNumberFormat="1" applyFont="1"/>
    <xf numFmtId="168" fontId="2" fillId="0" borderId="0" xfId="2" applyNumberFormat="1" applyFont="1"/>
    <xf numFmtId="169" fontId="2" fillId="0" borderId="0" xfId="2" applyNumberFormat="1" applyFont="1"/>
    <xf numFmtId="0" fontId="25" fillId="3" borderId="0" xfId="0" applyFont="1" applyFill="1"/>
    <xf numFmtId="1" fontId="61" fillId="11" borderId="0" xfId="6" applyNumberFormat="1" applyFont="1" applyAlignment="1">
      <alignment horizontal="right"/>
    </xf>
    <xf numFmtId="9" fontId="1" fillId="8" borderId="0" xfId="2" applyNumberFormat="1" applyFont="1" applyFill="1"/>
    <xf numFmtId="166" fontId="2" fillId="0" borderId="0" xfId="2" applyNumberFormat="1" applyFont="1" applyAlignment="1">
      <alignment wrapText="1"/>
    </xf>
    <xf numFmtId="166" fontId="21" fillId="0" borderId="0" xfId="2" applyNumberFormat="1" applyFont="1" applyAlignment="1">
      <alignment wrapText="1"/>
    </xf>
    <xf numFmtId="1" fontId="21" fillId="0" borderId="0" xfId="2" applyNumberFormat="1" applyFont="1"/>
    <xf numFmtId="1" fontId="10" fillId="0" borderId="0" xfId="0" quotePrefix="1" applyNumberFormat="1" applyFont="1" applyFill="1" applyBorder="1" applyAlignment="1">
      <alignment horizontal="right" indent="2"/>
    </xf>
    <xf numFmtId="11" fontId="2" fillId="0" borderId="0" xfId="2" applyNumberFormat="1" applyFont="1"/>
    <xf numFmtId="11" fontId="42" fillId="9" borderId="0" xfId="4" applyNumberFormat="1" applyAlignment="1">
      <alignment wrapText="1"/>
    </xf>
    <xf numFmtId="11" fontId="44" fillId="11" borderId="0" xfId="6" applyNumberFormat="1" applyAlignment="1">
      <alignment wrapText="1"/>
    </xf>
    <xf numFmtId="169" fontId="43" fillId="10" borderId="0" xfId="5" applyNumberFormat="1" applyAlignment="1">
      <alignment wrapText="1"/>
    </xf>
    <xf numFmtId="167" fontId="2" fillId="0" borderId="0" xfId="2" applyNumberFormat="1" applyFont="1"/>
    <xf numFmtId="3" fontId="42" fillId="9" borderId="10" xfId="4" applyNumberFormat="1" applyBorder="1"/>
    <xf numFmtId="3" fontId="44" fillId="11" borderId="10" xfId="6" applyNumberFormat="1" applyBorder="1"/>
    <xf numFmtId="3" fontId="43" fillId="10" borderId="10" xfId="5" applyNumberFormat="1" applyBorder="1"/>
    <xf numFmtId="0" fontId="22" fillId="0" borderId="0" xfId="0" applyFont="1" applyBorder="1"/>
    <xf numFmtId="0" fontId="29" fillId="0" borderId="0" xfId="0" applyFont="1" applyBorder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3" fontId="42" fillId="9" borderId="0" xfId="4" applyNumberFormat="1" applyBorder="1"/>
    <xf numFmtId="3" fontId="44" fillId="11" borderId="0" xfId="6" applyNumberFormat="1" applyBorder="1"/>
    <xf numFmtId="3" fontId="43" fillId="10" borderId="0" xfId="5" applyNumberFormat="1" applyBorder="1"/>
    <xf numFmtId="3" fontId="11" fillId="0" borderId="0" xfId="1" applyNumberFormat="1" applyFont="1" applyBorder="1"/>
    <xf numFmtId="3" fontId="2" fillId="0" borderId="0" xfId="5" applyNumberFormat="1" applyFont="1" applyFill="1" applyBorder="1"/>
    <xf numFmtId="3" fontId="62" fillId="0" borderId="0" xfId="5" applyNumberFormat="1" applyFont="1" applyFill="1" applyBorder="1"/>
    <xf numFmtId="167" fontId="0" fillId="0" borderId="0" xfId="0" applyNumberFormat="1"/>
    <xf numFmtId="167" fontId="42" fillId="9" borderId="0" xfId="4" applyNumberFormat="1" applyAlignment="1">
      <alignment wrapText="1"/>
    </xf>
    <xf numFmtId="0" fontId="2" fillId="0" borderId="0" xfId="0" applyFont="1" applyAlignment="1">
      <alignment wrapText="1"/>
    </xf>
    <xf numFmtId="9" fontId="4" fillId="0" borderId="0" xfId="0" applyNumberFormat="1" applyFont="1" applyFill="1" applyBorder="1"/>
    <xf numFmtId="9" fontId="0" fillId="0" borderId="0" xfId="0" applyNumberFormat="1"/>
    <xf numFmtId="166" fontId="0" fillId="8" borderId="0" xfId="0" applyNumberFormat="1" applyFill="1"/>
    <xf numFmtId="167" fontId="0" fillId="8" borderId="0" xfId="0" applyNumberFormat="1" applyFill="1"/>
    <xf numFmtId="0" fontId="2" fillId="8" borderId="0" xfId="2" applyFont="1" applyFill="1"/>
    <xf numFmtId="11" fontId="2" fillId="8" borderId="0" xfId="2" applyNumberFormat="1" applyFont="1" applyFill="1"/>
    <xf numFmtId="0" fontId="40" fillId="0" borderId="0" xfId="0" applyFont="1"/>
    <xf numFmtId="10" fontId="38" fillId="8" borderId="0" xfId="1" applyNumberFormat="1" applyFont="1" applyFill="1"/>
    <xf numFmtId="167" fontId="21" fillId="0" borderId="0" xfId="2" applyNumberFormat="1" applyFont="1"/>
    <xf numFmtId="0" fontId="21" fillId="0" borderId="0" xfId="2" applyFont="1"/>
    <xf numFmtId="2" fontId="0" fillId="8" borderId="0" xfId="0" applyNumberFormat="1" applyFill="1" applyBorder="1"/>
    <xf numFmtId="1" fontId="0" fillId="8" borderId="0" xfId="0" applyNumberFormat="1" applyFill="1"/>
    <xf numFmtId="1" fontId="0" fillId="8" borderId="0" xfId="0" applyNumberFormat="1" applyFill="1" applyBorder="1"/>
    <xf numFmtId="2" fontId="0" fillId="0" borderId="0" xfId="0" applyNumberFormat="1" applyFill="1"/>
    <xf numFmtId="2" fontId="39" fillId="0" borderId="0" xfId="1" applyNumberFormat="1" applyFont="1"/>
    <xf numFmtId="166" fontId="63" fillId="9" borderId="9" xfId="4" applyNumberFormat="1" applyFont="1" applyBorder="1" applyAlignment="1">
      <alignment wrapText="1"/>
    </xf>
    <xf numFmtId="166" fontId="63" fillId="11" borderId="9" xfId="6" applyNumberFormat="1" applyFont="1" applyBorder="1"/>
    <xf numFmtId="0" fontId="22" fillId="0" borderId="0" xfId="0" applyFont="1" applyFill="1"/>
    <xf numFmtId="0" fontId="22" fillId="0" borderId="0" xfId="2" applyFont="1" applyFill="1" applyBorder="1" applyAlignment="1">
      <alignment wrapText="1"/>
    </xf>
    <xf numFmtId="0" fontId="22" fillId="0" borderId="0" xfId="2" applyFont="1" applyFill="1" applyBorder="1"/>
    <xf numFmtId="0" fontId="22" fillId="8" borderId="0" xfId="2" applyFont="1" applyFill="1" applyBorder="1" applyAlignment="1">
      <alignment wrapText="1"/>
    </xf>
    <xf numFmtId="0" fontId="22" fillId="8" borderId="0" xfId="2" applyFont="1" applyFill="1" applyBorder="1"/>
    <xf numFmtId="167" fontId="63" fillId="9" borderId="7" xfId="4" applyNumberFormat="1" applyFont="1" applyBorder="1"/>
    <xf numFmtId="167" fontId="63" fillId="11" borderId="6" xfId="6" applyNumberFormat="1" applyFont="1" applyBorder="1" applyAlignment="1">
      <alignment wrapText="1"/>
    </xf>
    <xf numFmtId="3" fontId="0" fillId="0" borderId="0" xfId="0" applyNumberFormat="1"/>
    <xf numFmtId="0" fontId="39" fillId="0" borderId="0" xfId="1" applyFont="1"/>
    <xf numFmtId="1" fontId="63" fillId="11" borderId="0" xfId="6" applyNumberFormat="1" applyFont="1"/>
    <xf numFmtId="2" fontId="22" fillId="0" borderId="0" xfId="0" applyNumberFormat="1" applyFont="1"/>
    <xf numFmtId="3" fontId="64" fillId="0" borderId="0" xfId="1" applyNumberFormat="1" applyFont="1" applyBorder="1"/>
    <xf numFmtId="167" fontId="50" fillId="0" borderId="0" xfId="4" applyNumberFormat="1" applyFont="1" applyFill="1" applyBorder="1"/>
    <xf numFmtId="167" fontId="59" fillId="0" borderId="0" xfId="6" applyNumberFormat="1" applyFont="1" applyFill="1" applyBorder="1"/>
    <xf numFmtId="165" fontId="65" fillId="0" borderId="0" xfId="0" applyNumberFormat="1" applyFont="1" applyFill="1" applyBorder="1"/>
    <xf numFmtId="2" fontId="63" fillId="0" borderId="0" xfId="4" applyNumberFormat="1" applyFont="1" applyFill="1" applyBorder="1"/>
    <xf numFmtId="2" fontId="63" fillId="0" borderId="0" xfId="6" applyNumberFormat="1" applyFont="1" applyFill="1" applyBorder="1"/>
    <xf numFmtId="11" fontId="2" fillId="0" borderId="0" xfId="2" applyNumberFormat="1" applyFont="1" applyFill="1"/>
    <xf numFmtId="11" fontId="2" fillId="0" borderId="0" xfId="2" applyNumberFormat="1" applyFont="1" applyFill="1" applyBorder="1"/>
    <xf numFmtId="1" fontId="66" fillId="11" borderId="0" xfId="6" applyNumberFormat="1" applyFont="1" applyAlignment="1">
      <alignment horizontal="right"/>
    </xf>
    <xf numFmtId="1" fontId="66" fillId="9" borderId="0" xfId="4" applyNumberFormat="1" applyFont="1"/>
    <xf numFmtId="2" fontId="22" fillId="0" borderId="0" xfId="2" applyNumberFormat="1" applyFont="1"/>
    <xf numFmtId="0" fontId="2" fillId="0" borderId="0" xfId="0" applyFont="1" applyFill="1"/>
    <xf numFmtId="166" fontId="55" fillId="0" borderId="0" xfId="5" applyNumberFormat="1" applyFont="1" applyFill="1" applyBorder="1"/>
    <xf numFmtId="0" fontId="55" fillId="0" borderId="0" xfId="5" applyFont="1" applyFill="1" applyBorder="1"/>
    <xf numFmtId="1" fontId="55" fillId="0" borderId="0" xfId="5" applyNumberFormat="1" applyFont="1" applyFill="1" applyBorder="1"/>
    <xf numFmtId="9" fontId="55" fillId="0" borderId="0" xfId="5" applyNumberFormat="1" applyFont="1" applyFill="1" applyBorder="1"/>
    <xf numFmtId="10" fontId="0" fillId="0" borderId="0" xfId="0" applyNumberFormat="1" applyFill="1"/>
    <xf numFmtId="1" fontId="58" fillId="0" borderId="0" xfId="5" applyNumberFormat="1" applyFont="1" applyFill="1" applyBorder="1"/>
    <xf numFmtId="0" fontId="43" fillId="0" borderId="0" xfId="5" applyFill="1" applyBorder="1"/>
    <xf numFmtId="165" fontId="55" fillId="0" borderId="0" xfId="5" applyNumberFormat="1" applyFont="1" applyFill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</cellXfs>
  <cellStyles count="7">
    <cellStyle name="Bad" xfId="5" builtinId="27"/>
    <cellStyle name="Good" xfId="4" builtinId="26"/>
    <cellStyle name="Hyperlink" xfId="3" builtinId="8"/>
    <cellStyle name="Neutral" xfId="6" builtinId="28"/>
    <cellStyle name="Normal" xfId="0" builtinId="0"/>
    <cellStyle name="Normal 2" xfId="1"/>
    <cellStyle name="Normal 3" xfId="2"/>
  </cellStyles>
  <dxfs count="0"/>
  <tableStyles count="0" defaultTableStyle="TableStyleMedium9"/>
  <colors>
    <mruColors>
      <color rgb="FFE9A218"/>
      <color rgb="FFE9E2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Electricity usage  (TWh) of Fixed access wired networks 2020-2030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'WAN FAN Wi-Fi'!$D$264</c:f>
              <c:strCache>
                <c:ptCount val="1"/>
                <c:pt idx="0">
                  <c:v>Fixed access wired Best</c:v>
                </c:pt>
              </c:strCache>
            </c:strRef>
          </c:tx>
          <c:dLbls>
            <c:dLbl>
              <c:idx val="10"/>
              <c:layout>
                <c:manualLayout>
                  <c:x val="-9.3628149782431416E-3"/>
                  <c:y val="5.2448073038669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'WAN FAN Wi-Fi'!$E$263:$Y$263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'WAN FAN Wi-Fi'!$E$264:$Y$264</c:f>
              <c:numCache>
                <c:formatCode>#,##0</c:formatCode>
                <c:ptCount val="21"/>
                <c:pt idx="0">
                  <c:v>162</c:v>
                </c:pt>
                <c:pt idx="1">
                  <c:v>178</c:v>
                </c:pt>
                <c:pt idx="2">
                  <c:v>196.24</c:v>
                </c:pt>
                <c:pt idx="3">
                  <c:v>185.41757276595743</c:v>
                </c:pt>
                <c:pt idx="4">
                  <c:v>175.63409854638297</c:v>
                </c:pt>
                <c:pt idx="5">
                  <c:v>166.78983785188765</c:v>
                </c:pt>
                <c:pt idx="6">
                  <c:v>158.79462618406387</c:v>
                </c:pt>
                <c:pt idx="7">
                  <c:v>151.56695483635119</c:v>
                </c:pt>
                <c:pt idx="8">
                  <c:v>145.03313993801893</c:v>
                </c:pt>
                <c:pt idx="9">
                  <c:v>139.12657126992653</c:v>
                </c:pt>
                <c:pt idx="10">
                  <c:v>133.78703319397104</c:v>
                </c:pt>
                <c:pt idx="11">
                  <c:v>128.96009077330729</c:v>
                </c:pt>
                <c:pt idx="12">
                  <c:v>126.15399151034006</c:v>
                </c:pt>
                <c:pt idx="13">
                  <c:v>125.21402946965131</c:v>
                </c:pt>
                <c:pt idx="14">
                  <c:v>126.06996946086254</c:v>
                </c:pt>
                <c:pt idx="15">
                  <c:v>128.72893279459115</c:v>
                </c:pt>
                <c:pt idx="16">
                  <c:v>137.9777003315159</c:v>
                </c:pt>
                <c:pt idx="17">
                  <c:v>151.53917699279796</c:v>
                </c:pt>
                <c:pt idx="18">
                  <c:v>168.58577162374181</c:v>
                </c:pt>
                <c:pt idx="19">
                  <c:v>191.99800415877064</c:v>
                </c:pt>
                <c:pt idx="20">
                  <c:v>223.72192736620448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'WAN FAN Wi-Fi'!$D$265</c:f>
              <c:strCache>
                <c:ptCount val="1"/>
                <c:pt idx="0">
                  <c:v>Fixed access wired Expected</c:v>
                </c:pt>
              </c:strCache>
            </c:strRef>
          </c:tx>
          <c:dLbls>
            <c:dLbl>
              <c:idx val="10"/>
              <c:layout>
                <c:manualLayout>
                  <c:x val="-6.2418766521620999E-3"/>
                  <c:y val="-5.5208497935441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'WAN FAN Wi-Fi'!$E$263:$Y$263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'WAN FAN Wi-Fi'!$E$265:$Y$265</c:f>
              <c:numCache>
                <c:formatCode>#,##0</c:formatCode>
                <c:ptCount val="21"/>
                <c:pt idx="0">
                  <c:v>162</c:v>
                </c:pt>
                <c:pt idx="1">
                  <c:v>178</c:v>
                </c:pt>
                <c:pt idx="2">
                  <c:v>196.24</c:v>
                </c:pt>
                <c:pt idx="3">
                  <c:v>189.65969702127663</c:v>
                </c:pt>
                <c:pt idx="4">
                  <c:v>184.08601338553194</c:v>
                </c:pt>
                <c:pt idx="5">
                  <c:v>179.44746869781792</c:v>
                </c:pt>
                <c:pt idx="6">
                  <c:v>178.3749784510639</c:v>
                </c:pt>
                <c:pt idx="7">
                  <c:v>175.48403824422135</c:v>
                </c:pt>
                <c:pt idx="8">
                  <c:v>173.35974309145502</c:v>
                </c:pt>
                <c:pt idx="9">
                  <c:v>171.95511792064113</c:v>
                </c:pt>
                <c:pt idx="10">
                  <c:v>171.22814105370821</c:v>
                </c:pt>
                <c:pt idx="11">
                  <c:v>171.14134109146875</c:v>
                </c:pt>
                <c:pt idx="12">
                  <c:v>173.80719846622486</c:v>
                </c:pt>
                <c:pt idx="13">
                  <c:v>179.29142197934556</c:v>
                </c:pt>
                <c:pt idx="14">
                  <c:v>187.79049610537172</c:v>
                </c:pt>
                <c:pt idx="15">
                  <c:v>199.64246734084227</c:v>
                </c:pt>
                <c:pt idx="16">
                  <c:v>222.9488690176</c:v>
                </c:pt>
                <c:pt idx="17">
                  <c:v>255.26656817614005</c:v>
                </c:pt>
                <c:pt idx="18">
                  <c:v>296.1879146172372</c:v>
                </c:pt>
                <c:pt idx="19">
                  <c:v>351.95004861788806</c:v>
                </c:pt>
                <c:pt idx="20">
                  <c:v>428.00745525592885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187072"/>
        <c:axId val="-56185984"/>
      </c:scatterChart>
      <c:valAx>
        <c:axId val="-56187072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1431288575206293"/>
              <c:y val="0.916104386266090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56185984"/>
        <c:crosses val="autoZero"/>
        <c:crossBetween val="midCat"/>
      </c:valAx>
      <c:valAx>
        <c:axId val="-561859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561870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13953273168365"/>
          <c:y val="0.37562883229227167"/>
          <c:w val="0.25007648335520927"/>
          <c:h val="0.3587698155579720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Best Case</a:t>
            </a:r>
            <a:r>
              <a:rPr lang="en-US" baseline="0"/>
              <a:t> Scenario 2030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4554406508139384E-2"/>
                  <c:y val="8.61107954358796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058350023882899E-2"/>
                  <c:y val="-4.942425243202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721139000784591E-2"/>
                  <c:y val="5.076268623047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115299612607133E-2"/>
                  <c:y val="7.09811778339044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Production</a:t>
                    </a:r>
                    <a:r>
                      <a:rPr lang="en-US" baseline="0"/>
                      <a:t> 14%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547618691835351E-2"/>
                  <c:y val="2.6961464254054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61387300273806E-2"/>
                  <c:y val="2.1891733731959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2030'!$B$72:$B$75</c:f>
              <c:strCache>
                <c:ptCount val="4"/>
                <c:pt idx="0">
                  <c:v>Consumer devices use</c:v>
                </c:pt>
                <c:pt idx="1">
                  <c:v>Networks Use</c:v>
                </c:pt>
                <c:pt idx="2">
                  <c:v>Data Centers Use</c:v>
                </c:pt>
                <c:pt idx="3">
                  <c:v>Production</c:v>
                </c:pt>
              </c:strCache>
            </c:strRef>
          </c:cat>
          <c:val>
            <c:numRef>
              <c:f>'Future 2030'!$C$72:$C$75</c:f>
              <c:numCache>
                <c:formatCode>0</c:formatCode>
                <c:ptCount val="4"/>
                <c:pt idx="0">
                  <c:v>440.98982651296217</c:v>
                </c:pt>
                <c:pt idx="1">
                  <c:v>399.26146187019049</c:v>
                </c:pt>
                <c:pt idx="2">
                  <c:v>366.43888061544607</c:v>
                </c:pt>
                <c:pt idx="3">
                  <c:v>150.52759980747419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Best Case Scenario 2020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6.9728465910660802E-3"/>
                  <c:y val="-7.43649471593742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713345216907142"/>
                  <c:y val="-1.392202308824438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986520658082172E-3"/>
                  <c:y val="0.115189945873890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637173942030577"/>
                  <c:y val="9.02622482272462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Production 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547618691835351E-2"/>
                  <c:y val="2.6961464254054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61387300273806E-2"/>
                  <c:y val="2.1891733731959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2030'!$B$65:$B$68</c:f>
              <c:strCache>
                <c:ptCount val="4"/>
                <c:pt idx="0">
                  <c:v>Consumer devices use</c:v>
                </c:pt>
                <c:pt idx="1">
                  <c:v>Networks Use</c:v>
                </c:pt>
                <c:pt idx="2">
                  <c:v>Data Centers Use</c:v>
                </c:pt>
                <c:pt idx="3">
                  <c:v>Production</c:v>
                </c:pt>
              </c:strCache>
            </c:strRef>
          </c:cat>
          <c:val>
            <c:numRef>
              <c:f>'Future 2030'!$C$65:$C$68</c:f>
              <c:numCache>
                <c:formatCode>0</c:formatCode>
                <c:ptCount val="4"/>
                <c:pt idx="0">
                  <c:v>619.82959923386886</c:v>
                </c:pt>
                <c:pt idx="1">
                  <c:v>159.50739954800733</c:v>
                </c:pt>
                <c:pt idx="2">
                  <c:v>195.98871657824199</c:v>
                </c:pt>
                <c:pt idx="3">
                  <c:v>229.08992631802354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Expected</a:t>
            </a:r>
            <a:r>
              <a:rPr lang="en-US" baseline="0"/>
              <a:t> Case Scenario 2020</a:t>
            </a:r>
            <a:endParaRPr lang="en-US"/>
          </a:p>
        </c:rich>
      </c:tx>
      <c:layout>
        <c:manualLayout>
          <c:xMode val="edge"/>
          <c:yMode val="edge"/>
          <c:x val="0.32078926770541877"/>
          <c:y val="1.801801801801802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6.8067087469452559E-2"/>
                  <c:y val="5.02577853443995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282754660887618"/>
                  <c:y val="-2.41989075689863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5032485140710526E-2"/>
                  <c:y val="-7.022770802298373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551185261873958E-2"/>
                  <c:y val="8.19811557036609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Production 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547618691835351E-2"/>
                  <c:y val="2.6961464254054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61387300273806E-2"/>
                  <c:y val="2.1891733731959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2030'!$F$65:$F$68</c:f>
              <c:strCache>
                <c:ptCount val="4"/>
                <c:pt idx="0">
                  <c:v>Consumer devices use</c:v>
                </c:pt>
                <c:pt idx="1">
                  <c:v>Networks Use</c:v>
                </c:pt>
                <c:pt idx="2">
                  <c:v>Data Centers Use</c:v>
                </c:pt>
                <c:pt idx="3">
                  <c:v>Production</c:v>
                </c:pt>
              </c:strCache>
            </c:strRef>
          </c:cat>
          <c:val>
            <c:numRef>
              <c:f>'Future 2030'!$G$65:$G$68</c:f>
              <c:numCache>
                <c:formatCode>0</c:formatCode>
                <c:ptCount val="4"/>
                <c:pt idx="0">
                  <c:v>1038.5234219383763</c:v>
                </c:pt>
                <c:pt idx="1">
                  <c:v>269.3035720534682</c:v>
                </c:pt>
                <c:pt idx="2">
                  <c:v>299.4284224516482</c:v>
                </c:pt>
                <c:pt idx="3">
                  <c:v>380.72556712639556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Comparison between [10] and present study for 2020 (TWh)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'Future 2030'!$C$168</c:f>
              <c:strCache>
                <c:ptCount val="1"/>
                <c:pt idx="0">
                  <c:v>[10] Expected]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'Future 2030'!$B$169:$B$173</c:f>
              <c:strCache>
                <c:ptCount val="5"/>
                <c:pt idx="0">
                  <c:v>Consumer devices use</c:v>
                </c:pt>
                <c:pt idx="1">
                  <c:v>Fixed access wired use</c:v>
                </c:pt>
                <c:pt idx="2">
                  <c:v>Wireless networks access use</c:v>
                </c:pt>
                <c:pt idx="3">
                  <c:v>Data centers use</c:v>
                </c:pt>
                <c:pt idx="4">
                  <c:v>Production</c:v>
                </c:pt>
              </c:strCache>
            </c:strRef>
          </c:cat>
          <c:val>
            <c:numRef>
              <c:f>'Future 2030'!$C$169:$C$173</c:f>
              <c:numCache>
                <c:formatCode>0</c:formatCode>
                <c:ptCount val="5"/>
                <c:pt idx="0">
                  <c:v>1131.7998807063141</c:v>
                </c:pt>
                <c:pt idx="1">
                  <c:v>439.33451266811022</c:v>
                </c:pt>
                <c:pt idx="2">
                  <c:v>98.075430999759973</c:v>
                </c:pt>
                <c:pt idx="3">
                  <c:v>660.01006825091235</c:v>
                </c:pt>
                <c:pt idx="4">
                  <c:v>548.9977200214621</c:v>
                </c:pt>
              </c:numCache>
            </c:numRef>
          </c:val>
        </c:ser>
        <c:ser>
          <c:idx val="1"/>
          <c:order val="1"/>
          <c:tx>
            <c:strRef>
              <c:f>'Future 2030'!$D$168</c:f>
              <c:strCache>
                <c:ptCount val="1"/>
                <c:pt idx="0">
                  <c:v>Present expected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207972310130772E-2"/>
                  <c:y val="1.1953147426857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'Future 2030'!$B$169:$B$173</c:f>
              <c:strCache>
                <c:ptCount val="5"/>
                <c:pt idx="0">
                  <c:v>Consumer devices use</c:v>
                </c:pt>
                <c:pt idx="1">
                  <c:v>Fixed access wired use</c:v>
                </c:pt>
                <c:pt idx="2">
                  <c:v>Wireless networks access use</c:v>
                </c:pt>
                <c:pt idx="3">
                  <c:v>Data centers use</c:v>
                </c:pt>
                <c:pt idx="4">
                  <c:v>Production</c:v>
                </c:pt>
              </c:strCache>
            </c:strRef>
          </c:cat>
          <c:val>
            <c:numRef>
              <c:f>'Future 2030'!$D$169:$D$173</c:f>
              <c:numCache>
                <c:formatCode>0</c:formatCode>
                <c:ptCount val="5"/>
                <c:pt idx="0">
                  <c:v>1038.5234219383763</c:v>
                </c:pt>
                <c:pt idx="1">
                  <c:v>171.22814105370821</c:v>
                </c:pt>
                <c:pt idx="2">
                  <c:v>98.075430999759973</c:v>
                </c:pt>
                <c:pt idx="3">
                  <c:v>299.4284224516482</c:v>
                </c:pt>
                <c:pt idx="4">
                  <c:v>380.72556712639556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08584720"/>
        <c:axId val="-1708579824"/>
      </c:barChart>
      <c:catAx>
        <c:axId val="-17085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8579824"/>
        <c:crosses val="autoZero"/>
        <c:auto val="1"/>
        <c:lblAlgn val="ctr"/>
        <c:lblOffset val="100"/>
        <c:noMultiLvlLbl val="0"/>
      </c:catAx>
      <c:valAx>
        <c:axId val="-170857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858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Comparison between [10] and present study for 2030 (TWh)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'Future 2030'!$C$177</c:f>
              <c:strCache>
                <c:ptCount val="1"/>
                <c:pt idx="0">
                  <c:v>[10] Expected]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'Future 2030'!$B$178:$B$182</c:f>
              <c:strCache>
                <c:ptCount val="5"/>
                <c:pt idx="0">
                  <c:v>Consumer devices use</c:v>
                </c:pt>
                <c:pt idx="1">
                  <c:v>Fixed access wired use</c:v>
                </c:pt>
                <c:pt idx="2">
                  <c:v>Wireless networks access use</c:v>
                </c:pt>
                <c:pt idx="3">
                  <c:v>Data centers use</c:v>
                </c:pt>
                <c:pt idx="4">
                  <c:v>Production</c:v>
                </c:pt>
              </c:strCache>
            </c:strRef>
          </c:cat>
          <c:val>
            <c:numRef>
              <c:f>'Future 2030'!$C$178:$C$182</c:f>
              <c:numCache>
                <c:formatCode>0</c:formatCode>
                <c:ptCount val="5"/>
                <c:pt idx="0">
                  <c:v>1558.5378528439601</c:v>
                </c:pt>
                <c:pt idx="1">
                  <c:v>2640.6272824606208</c:v>
                </c:pt>
                <c:pt idx="2">
                  <c:v>196.04531188371456</c:v>
                </c:pt>
                <c:pt idx="3">
                  <c:v>2967.2670367836349</c:v>
                </c:pt>
                <c:pt idx="4">
                  <c:v>902.56823963408169</c:v>
                </c:pt>
              </c:numCache>
            </c:numRef>
          </c:val>
        </c:ser>
        <c:ser>
          <c:idx val="1"/>
          <c:order val="1"/>
          <c:tx>
            <c:strRef>
              <c:f>'Future 2030'!$D$177</c:f>
              <c:strCache>
                <c:ptCount val="1"/>
                <c:pt idx="0">
                  <c:v>Present expected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3441194509430715E-2"/>
                  <c:y val="3.9612669192104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'Future 2030'!$B$178:$B$182</c:f>
              <c:strCache>
                <c:ptCount val="5"/>
                <c:pt idx="0">
                  <c:v>Consumer devices use</c:v>
                </c:pt>
                <c:pt idx="1">
                  <c:v>Fixed access wired use</c:v>
                </c:pt>
                <c:pt idx="2">
                  <c:v>Wireless networks access use</c:v>
                </c:pt>
                <c:pt idx="3">
                  <c:v>Data centers use</c:v>
                </c:pt>
                <c:pt idx="4">
                  <c:v>Production</c:v>
                </c:pt>
              </c:strCache>
            </c:strRef>
          </c:cat>
          <c:val>
            <c:numRef>
              <c:f>'Future 2030'!$D$178:$D$182</c:f>
              <c:numCache>
                <c:formatCode>0</c:formatCode>
                <c:ptCount val="5"/>
                <c:pt idx="0">
                  <c:v>1072.9527648587175</c:v>
                </c:pt>
                <c:pt idx="1">
                  <c:v>428.00745525592885</c:v>
                </c:pt>
                <c:pt idx="2">
                  <c:v>445.62740445665224</c:v>
                </c:pt>
                <c:pt idx="3">
                  <c:v>973.74650014109261</c:v>
                </c:pt>
                <c:pt idx="4">
                  <c:v>298.03786185519311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08587440"/>
        <c:axId val="-1708584176"/>
      </c:barChart>
      <c:catAx>
        <c:axId val="-170858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8584176"/>
        <c:crosses val="autoZero"/>
        <c:auto val="1"/>
        <c:lblAlgn val="ctr"/>
        <c:lblOffset val="100"/>
        <c:noMultiLvlLbl val="0"/>
      </c:catAx>
      <c:valAx>
        <c:axId val="-170858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08587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Electricity footprint  (TWh) of Communication Technology 2020-2030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68817132289207"/>
          <c:y val="0.25064478924794648"/>
          <c:w val="0.47734745836679598"/>
          <c:h val="0.51597106049725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5'!$A$2</c:f>
              <c:strCache>
                <c:ptCount val="1"/>
                <c:pt idx="0">
                  <c:v>Extreme positive</c:v>
                </c:pt>
              </c:strCache>
            </c:strRef>
          </c:tx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'Figure 5'!$L$1:$V$1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'Figure 5'!$L$2:$V$2</c:f>
              <c:numCache>
                <c:formatCode>#,##0</c:formatCode>
                <c:ptCount val="11"/>
                <c:pt idx="0">
                  <c:v>1987.9809835698884</c:v>
                </c:pt>
                <c:pt idx="1">
                  <c:v>1985.5882686426348</c:v>
                </c:pt>
                <c:pt idx="2">
                  <c:v>1979.5567979964173</c:v>
                </c:pt>
                <c:pt idx="3">
                  <c:v>1973.3967949944056</c:v>
                </c:pt>
                <c:pt idx="4">
                  <c:v>1966.8254668992813</c:v>
                </c:pt>
                <c:pt idx="5">
                  <c:v>1960.0661466132879</c:v>
                </c:pt>
                <c:pt idx="6">
                  <c:v>1972.2863339754522</c:v>
                </c:pt>
                <c:pt idx="7">
                  <c:v>2000.1200647073915</c:v>
                </c:pt>
                <c:pt idx="8">
                  <c:v>2043.4569678245634</c:v>
                </c:pt>
                <c:pt idx="9">
                  <c:v>2105.9671868125811</c:v>
                </c:pt>
                <c:pt idx="10">
                  <c:v>2191.3357881410134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'Figure 5'!$A$3</c:f>
              <c:strCache>
                <c:ptCount val="1"/>
                <c:pt idx="0">
                  <c:v>Present expected</c:v>
                </c:pt>
              </c:strCache>
            </c:strRef>
          </c:tx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'Figure 5'!$L$1:$V$1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'Figure 5'!$L$3:$V$3</c:f>
              <c:numCache>
                <c:formatCode>#,##0</c:formatCode>
                <c:ptCount val="11"/>
                <c:pt idx="0">
                  <c:v>1987.9809835698884</c:v>
                </c:pt>
                <c:pt idx="1">
                  <c:v>1985.5882686426348</c:v>
                </c:pt>
                <c:pt idx="2">
                  <c:v>1987.0356098822194</c:v>
                </c:pt>
                <c:pt idx="3">
                  <c:v>1996.5815563533833</c:v>
                </c:pt>
                <c:pt idx="4">
                  <c:v>2015.3545888699466</c:v>
                </c:pt>
                <c:pt idx="5">
                  <c:v>2045.7684307134173</c:v>
                </c:pt>
                <c:pt idx="6">
                  <c:v>2139.4747069892446</c:v>
                </c:pt>
                <c:pt idx="7">
                  <c:v>2287.7023986916647</c:v>
                </c:pt>
                <c:pt idx="8">
                  <c:v>2493.0544470981463</c:v>
                </c:pt>
                <c:pt idx="9">
                  <c:v>2790.8321616365556</c:v>
                </c:pt>
                <c:pt idx="10">
                  <c:v>3218.3719865675844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'Figure 5'!$A$4</c:f>
              <c:strCache>
                <c:ptCount val="1"/>
                <c:pt idx="0">
                  <c:v>Expected case [10]</c:v>
                </c:pt>
              </c:strCache>
            </c:strRef>
          </c:tx>
          <c:dLbls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'Figure 5'!$L$1:$V$1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xVal>
          <c:yVal>
            <c:numRef>
              <c:f>'Figure 5'!$L$4:$V$4</c:f>
              <c:numCache>
                <c:formatCode>#,##0</c:formatCode>
                <c:ptCount val="11"/>
                <c:pt idx="0">
                  <c:v>2878.2176126465588</c:v>
                </c:pt>
                <c:pt idx="1">
                  <c:v>3009.9104960028953</c:v>
                </c:pt>
                <c:pt idx="2">
                  <c:v>3259.8082466626629</c:v>
                </c:pt>
                <c:pt idx="3">
                  <c:v>3561.708765358288</c:v>
                </c:pt>
                <c:pt idx="4">
                  <c:v>3920.2719122412022</c:v>
                </c:pt>
                <c:pt idx="5">
                  <c:v>4350.1731817703167</c:v>
                </c:pt>
                <c:pt idx="6">
                  <c:v>4857.9741508080078</c:v>
                </c:pt>
                <c:pt idx="7">
                  <c:v>5479.9892991091065</c:v>
                </c:pt>
                <c:pt idx="8">
                  <c:v>6237.029423189756</c:v>
                </c:pt>
                <c:pt idx="9">
                  <c:v>7154.8141322855718</c:v>
                </c:pt>
                <c:pt idx="10">
                  <c:v>8265.0457236060101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8583632"/>
        <c:axId val="-1708585808"/>
      </c:scatterChart>
      <c:valAx>
        <c:axId val="-1708583632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1708585808"/>
        <c:crosses val="autoZero"/>
        <c:crossBetween val="midCat"/>
        <c:majorUnit val="2"/>
      </c:valAx>
      <c:valAx>
        <c:axId val="-1708585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708583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953042872991628"/>
          <c:y val="0.19801430112052371"/>
          <c:w val="0.20108092453328977"/>
          <c:h val="0.681305899533425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Electricity usage  (TWh) of Fixed access Wi-Fi networks 2020-2030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'WAN FAN Wi-Fi'!$D$305</c:f>
              <c:strCache>
                <c:ptCount val="1"/>
                <c:pt idx="0">
                  <c:v>Fixed access WiFi Best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'WAN FAN Wi-Fi'!$E$304:$Y$304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'WAN FAN Wi-Fi'!$E$305:$Y$305</c:f>
              <c:numCache>
                <c:formatCode>0</c:formatCode>
                <c:ptCount val="21"/>
                <c:pt idx="0">
                  <c:v>42.1</c:v>
                </c:pt>
                <c:pt idx="1">
                  <c:v>46.4</c:v>
                </c:pt>
                <c:pt idx="2">
                  <c:v>51.4</c:v>
                </c:pt>
                <c:pt idx="3">
                  <c:v>51.400000000000006</c:v>
                </c:pt>
                <c:pt idx="4">
                  <c:v>51.400000000000006</c:v>
                </c:pt>
                <c:pt idx="5">
                  <c:v>51.400000000000006</c:v>
                </c:pt>
                <c:pt idx="6">
                  <c:v>51.400000000000006</c:v>
                </c:pt>
                <c:pt idx="7">
                  <c:v>51.400000000000006</c:v>
                </c:pt>
                <c:pt idx="8">
                  <c:v>51.400000000000006</c:v>
                </c:pt>
                <c:pt idx="9">
                  <c:v>51.400000000000006</c:v>
                </c:pt>
                <c:pt idx="10">
                  <c:v>51.400000000000006</c:v>
                </c:pt>
                <c:pt idx="11">
                  <c:v>51.400000000000006</c:v>
                </c:pt>
                <c:pt idx="12">
                  <c:v>52.042500000000004</c:v>
                </c:pt>
                <c:pt idx="13">
                  <c:v>53.343562500000004</c:v>
                </c:pt>
                <c:pt idx="14" formatCode="#,##0">
                  <c:v>55.343946093750006</c:v>
                </c:pt>
                <c:pt idx="15" formatCode="#,##0">
                  <c:v>58.111143398437498</c:v>
                </c:pt>
                <c:pt idx="16" formatCode="#,##0">
                  <c:v>63.922257738281253</c:v>
                </c:pt>
                <c:pt idx="17" formatCode="#,##0">
                  <c:v>71.912539955566416</c:v>
                </c:pt>
                <c:pt idx="18" formatCode="#,##0">
                  <c:v>81.800514199456813</c:v>
                </c:pt>
                <c:pt idx="19" formatCode="#,##0">
                  <c:v>95.093097756868545</c:v>
                </c:pt>
                <c:pt idx="20" formatCode="#,##0">
                  <c:v>112.92305358628138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'WAN FAN Wi-Fi'!$D$306</c:f>
              <c:strCache>
                <c:ptCount val="1"/>
                <c:pt idx="0">
                  <c:v>Fixed access WiFi Expected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'WAN FAN Wi-Fi'!$E$304:$Y$304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'WAN FAN Wi-Fi'!$E$306:$Y$306</c:f>
              <c:numCache>
                <c:formatCode>0</c:formatCode>
                <c:ptCount val="21"/>
                <c:pt idx="0">
                  <c:v>42.1</c:v>
                </c:pt>
                <c:pt idx="1">
                  <c:v>46.4</c:v>
                </c:pt>
                <c:pt idx="2">
                  <c:v>51.4</c:v>
                </c:pt>
                <c:pt idx="3">
                  <c:v>53.45600000000001</c:v>
                </c:pt>
                <c:pt idx="4">
                  <c:v>55.594240000000013</c:v>
                </c:pt>
                <c:pt idx="5">
                  <c:v>57.818009600000018</c:v>
                </c:pt>
                <c:pt idx="6">
                  <c:v>61.581312000000018</c:v>
                </c:pt>
                <c:pt idx="7">
                  <c:v>64.04456448000002</c:v>
                </c:pt>
                <c:pt idx="8">
                  <c:v>66.606347059200033</c:v>
                </c:pt>
                <c:pt idx="9">
                  <c:v>69.270600941568034</c:v>
                </c:pt>
                <c:pt idx="10">
                  <c:v>72.041424979230769</c:v>
                </c:pt>
                <c:pt idx="11">
                  <c:v>74.923081978400006</c:v>
                </c:pt>
                <c:pt idx="12">
                  <c:v>78.894005323255215</c:v>
                </c:pt>
                <c:pt idx="13">
                  <c:v>84.10100967459006</c:v>
                </c:pt>
                <c:pt idx="14" formatCode="#,##0">
                  <c:v>90.744989438882669</c:v>
                </c:pt>
                <c:pt idx="15" formatCode="#,##0">
                  <c:v>99.093528467259873</c:v>
                </c:pt>
                <c:pt idx="16" formatCode="#,##0">
                  <c:v>113.36299656654531</c:v>
                </c:pt>
                <c:pt idx="17" formatCode="#,##0">
                  <c:v>132.63470598285801</c:v>
                </c:pt>
                <c:pt idx="18" formatCode="#,##0">
                  <c:v>156.90685717772104</c:v>
                </c:pt>
                <c:pt idx="19" formatCode="#,##0">
                  <c:v>189.70039032786474</c:v>
                </c:pt>
                <c:pt idx="20" formatCode="#,##0">
                  <c:v>234.27998205491295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181632"/>
        <c:axId val="-56186528"/>
      </c:scatterChart>
      <c:valAx>
        <c:axId val="-56181632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1431288575206277"/>
              <c:y val="0.916104386266090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56186528"/>
        <c:crosses val="autoZero"/>
        <c:crossBetween val="midCat"/>
      </c:valAx>
      <c:valAx>
        <c:axId val="-561865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-561816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6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Electricity usage  (TWh) of Wireless access networks 2020-2030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6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'WAN FAN Wi-Fi'!$D$217</c:f>
              <c:strCache>
                <c:ptCount val="1"/>
                <c:pt idx="0">
                  <c:v>Wireless access Best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4.9486132932141394E-2"/>
                  <c:y val="-2.7147457722525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535776745625925E-2"/>
                  <c:y val="-7.84259889761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'WAN FAN Wi-Fi'!$E$216:$Y$216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 formatCode="0">
                  <c:v>2012</c:v>
                </c:pt>
                <c:pt idx="3" formatCode="0">
                  <c:v>2013</c:v>
                </c:pt>
                <c:pt idx="4" formatCode="0">
                  <c:v>2014</c:v>
                </c:pt>
                <c:pt idx="5" formatCode="0">
                  <c:v>2015</c:v>
                </c:pt>
                <c:pt idx="6" formatCode="0">
                  <c:v>2016</c:v>
                </c:pt>
                <c:pt idx="7" formatCode="0">
                  <c:v>2017</c:v>
                </c:pt>
                <c:pt idx="8" formatCode="0">
                  <c:v>2018</c:v>
                </c:pt>
                <c:pt idx="9" formatCode="0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  <c:pt idx="14" formatCode="0">
                  <c:v>2024</c:v>
                </c:pt>
                <c:pt idx="15" formatCode="0">
                  <c:v>2025</c:v>
                </c:pt>
                <c:pt idx="16" formatCode="0">
                  <c:v>2026</c:v>
                </c:pt>
                <c:pt idx="17" formatCode="0">
                  <c:v>2027</c:v>
                </c:pt>
                <c:pt idx="18" formatCode="0">
                  <c:v>2028</c:v>
                </c:pt>
                <c:pt idx="19" formatCode="0">
                  <c:v>2029</c:v>
                </c:pt>
                <c:pt idx="20" formatCode="0">
                  <c:v>2030</c:v>
                </c:pt>
              </c:numCache>
            </c:numRef>
          </c:xVal>
          <c:yVal>
            <c:numRef>
              <c:f>'WAN FAN Wi-Fi'!$E$217:$Y$217</c:f>
              <c:numCache>
                <c:formatCode>0</c:formatCode>
                <c:ptCount val="21"/>
                <c:pt idx="0">
                  <c:v>134.69477647058824</c:v>
                </c:pt>
                <c:pt idx="1">
                  <c:v>125.90228225999998</c:v>
                </c:pt>
                <c:pt idx="2">
                  <c:v>116.00045411541173</c:v>
                </c:pt>
                <c:pt idx="3">
                  <c:v>95.669677678492206</c:v>
                </c:pt>
                <c:pt idx="4">
                  <c:v>78.76252347857988</c:v>
                </c:pt>
                <c:pt idx="5">
                  <c:v>64.470301470187195</c:v>
                </c:pt>
                <c:pt idx="6">
                  <c:v>52.282858884050803</c:v>
                </c:pt>
                <c:pt idx="7">
                  <c:v>41.282642254314034</c:v>
                </c:pt>
                <c:pt idx="8">
                  <c:v>34.969549988503182</c:v>
                </c:pt>
                <c:pt idx="9">
                  <c:v>29.552460650839553</c:v>
                </c:pt>
                <c:pt idx="10">
                  <c:v>25.72036635403629</c:v>
                </c:pt>
                <c:pt idx="11">
                  <c:v>20.767071186384143</c:v>
                </c:pt>
                <c:pt idx="12">
                  <c:v>23.997861215634739</c:v>
                </c:pt>
                <c:pt idx="13">
                  <c:v>26.252037178884116</c:v>
                </c:pt>
                <c:pt idx="14">
                  <c:v>31.162568851999698</c:v>
                </c:pt>
                <c:pt idx="15">
                  <c:v>38.094407099255292</c:v>
                </c:pt>
                <c:pt idx="16">
                  <c:v>54.457061579801149</c:v>
                </c:pt>
                <c:pt idx="17">
                  <c:v>74.05540233558898</c:v>
                </c:pt>
                <c:pt idx="18">
                  <c:v>98.221878959063019</c:v>
                </c:pt>
                <c:pt idx="19">
                  <c:v>130.60334361057156</c:v>
                </c:pt>
                <c:pt idx="20">
                  <c:v>175.53953450398603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'WAN FAN Wi-Fi'!$D$218</c:f>
              <c:strCache>
                <c:ptCount val="1"/>
                <c:pt idx="0">
                  <c:v>Wireless access Expected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2.2183438900615103E-2"/>
                  <c:y val="-5.1278531253659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8256744250041112E-3"/>
                  <c:y val="-7.2393220593401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'WAN FAN Wi-Fi'!$E$216:$Y$216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 formatCode="0">
                  <c:v>2012</c:v>
                </c:pt>
                <c:pt idx="3" formatCode="0">
                  <c:v>2013</c:v>
                </c:pt>
                <c:pt idx="4" formatCode="0">
                  <c:v>2014</c:v>
                </c:pt>
                <c:pt idx="5" formatCode="0">
                  <c:v>2015</c:v>
                </c:pt>
                <c:pt idx="6" formatCode="0">
                  <c:v>2016</c:v>
                </c:pt>
                <c:pt idx="7" formatCode="0">
                  <c:v>2017</c:v>
                </c:pt>
                <c:pt idx="8" formatCode="0">
                  <c:v>2018</c:v>
                </c:pt>
                <c:pt idx="9" formatCode="0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  <c:pt idx="14" formatCode="0">
                  <c:v>2024</c:v>
                </c:pt>
                <c:pt idx="15" formatCode="0">
                  <c:v>2025</c:v>
                </c:pt>
                <c:pt idx="16" formatCode="0">
                  <c:v>2026</c:v>
                </c:pt>
                <c:pt idx="17" formatCode="0">
                  <c:v>2027</c:v>
                </c:pt>
                <c:pt idx="18" formatCode="0">
                  <c:v>2028</c:v>
                </c:pt>
                <c:pt idx="19" formatCode="0">
                  <c:v>2029</c:v>
                </c:pt>
                <c:pt idx="20" formatCode="0">
                  <c:v>2030</c:v>
                </c:pt>
              </c:numCache>
            </c:numRef>
          </c:xVal>
          <c:yVal>
            <c:numRef>
              <c:f>'WAN FAN Wi-Fi'!$E$218:$Y$218</c:f>
              <c:numCache>
                <c:formatCode>0</c:formatCode>
                <c:ptCount val="21"/>
                <c:pt idx="0">
                  <c:v>203.6523670588235</c:v>
                </c:pt>
                <c:pt idx="1">
                  <c:v>200.25585422315291</c:v>
                </c:pt>
                <c:pt idx="2">
                  <c:v>196.62237023116231</c:v>
                </c:pt>
                <c:pt idx="3">
                  <c:v>181.00294595484499</c:v>
                </c:pt>
                <c:pt idx="4">
                  <c:v>166.57890688496164</c:v>
                </c:pt>
                <c:pt idx="5">
                  <c:v>151.9210282542038</c:v>
                </c:pt>
                <c:pt idx="6">
                  <c:v>136.17773569511598</c:v>
                </c:pt>
                <c:pt idx="7">
                  <c:v>118.87289457839924</c:v>
                </c:pt>
                <c:pt idx="8">
                  <c:v>110.58128641127578</c:v>
                </c:pt>
                <c:pt idx="9">
                  <c:v>102.90597592427439</c:v>
                </c:pt>
                <c:pt idx="10">
                  <c:v>98.075430999759973</c:v>
                </c:pt>
                <c:pt idx="11">
                  <c:v>94.050039213416241</c:v>
                </c:pt>
                <c:pt idx="12">
                  <c:v>91.950835033488744</c:v>
                </c:pt>
                <c:pt idx="13">
                  <c:v>94.765225946868043</c:v>
                </c:pt>
                <c:pt idx="14">
                  <c:v>102.41427604914661</c:v>
                </c:pt>
                <c:pt idx="15">
                  <c:v>115.73751401855871</c:v>
                </c:pt>
                <c:pt idx="16">
                  <c:v>142.25244299770935</c:v>
                </c:pt>
                <c:pt idx="17">
                  <c:v>181.49651941864687</c:v>
                </c:pt>
                <c:pt idx="18">
                  <c:v>237.21846870316199</c:v>
                </c:pt>
                <c:pt idx="19">
                  <c:v>320.31197017249252</c:v>
                </c:pt>
                <c:pt idx="20">
                  <c:v>445.62740445665224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183808"/>
        <c:axId val="-56696000"/>
      </c:scatterChart>
      <c:valAx>
        <c:axId val="-56183808"/>
        <c:scaling>
          <c:orientation val="minMax"/>
          <c:max val="203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696000"/>
        <c:crosses val="autoZero"/>
        <c:crossBetween val="midCat"/>
      </c:valAx>
      <c:valAx>
        <c:axId val="-5669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6183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200" baseline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Electricity usage (TWh) of Data Centers 2020-2030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DataCenters!$C$19</c:f>
              <c:strCache>
                <c:ptCount val="1"/>
                <c:pt idx="0">
                  <c:v>Data Centers Best</c:v>
                </c:pt>
              </c:strCache>
            </c:strRef>
          </c:tx>
          <c:dLbls>
            <c:dLbl>
              <c:idx val="10"/>
              <c:layout>
                <c:manualLayout>
                  <c:x val="5.9573111746375213E-3"/>
                  <c:y val="4.330206549147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DataCenters!$D$18:$X$18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DataCenters!$D$19:$X$19</c:f>
              <c:numCache>
                <c:formatCode>#,##0</c:formatCode>
                <c:ptCount val="21"/>
                <c:pt idx="0">
                  <c:v>189.38880000000003</c:v>
                </c:pt>
                <c:pt idx="1">
                  <c:v>199.06560000000002</c:v>
                </c:pt>
                <c:pt idx="2">
                  <c:v>230.03136000000001</c:v>
                </c:pt>
                <c:pt idx="3">
                  <c:v>219.41452800000002</c:v>
                </c:pt>
                <c:pt idx="4">
                  <c:v>215.90389555199999</c:v>
                </c:pt>
                <c:pt idx="5">
                  <c:v>212.449433223168</c:v>
                </c:pt>
                <c:pt idx="6">
                  <c:v>209.05024229159733</c:v>
                </c:pt>
                <c:pt idx="7">
                  <c:v>205.70543841493173</c:v>
                </c:pt>
                <c:pt idx="8">
                  <c:v>202.41415140029287</c:v>
                </c:pt>
                <c:pt idx="9">
                  <c:v>199.17552497788819</c:v>
                </c:pt>
                <c:pt idx="10">
                  <c:v>195.98871657824199</c:v>
                </c:pt>
                <c:pt idx="11">
                  <c:v>192.85289711299015</c:v>
                </c:pt>
                <c:pt idx="12">
                  <c:v>192.13934139367208</c:v>
                </c:pt>
                <c:pt idx="13">
                  <c:v>193.79173972965765</c:v>
                </c:pt>
                <c:pt idx="14">
                  <c:v>197.84198709000748</c:v>
                </c:pt>
                <c:pt idx="15">
                  <c:v>204.41034106139571</c:v>
                </c:pt>
                <c:pt idx="16">
                  <c:v>221.25375316485471</c:v>
                </c:pt>
                <c:pt idx="17">
                  <c:v>244.92790475349418</c:v>
                </c:pt>
                <c:pt idx="18">
                  <c:v>274.14780379058607</c:v>
                </c:pt>
                <c:pt idx="19">
                  <c:v>313.5976727560514</c:v>
                </c:pt>
                <c:pt idx="20">
                  <c:v>366.43888061544607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DataCenters!$C$20</c:f>
              <c:strCache>
                <c:ptCount val="1"/>
                <c:pt idx="0">
                  <c:v>Data Centers Expected</c:v>
                </c:pt>
              </c:strCache>
            </c:strRef>
          </c:tx>
          <c:dLbls>
            <c:dLbl>
              <c:idx val="10"/>
              <c:layout>
                <c:manualLayout>
                  <c:x val="2.9786555873187472E-3"/>
                  <c:y val="-9.9594750630394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DataCenters!$D$18:$X$18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DataCenters!$D$20:$X$20</c:f>
              <c:numCache>
                <c:formatCode>#,##0</c:formatCode>
                <c:ptCount val="21"/>
                <c:pt idx="0">
                  <c:v>196.40320000000003</c:v>
                </c:pt>
                <c:pt idx="1">
                  <c:v>206.4384</c:v>
                </c:pt>
                <c:pt idx="2">
                  <c:v>238.55104000000003</c:v>
                </c:pt>
                <c:pt idx="3">
                  <c:v>227.54099200000007</c:v>
                </c:pt>
                <c:pt idx="4">
                  <c:v>236.64263168000002</c:v>
                </c:pt>
                <c:pt idx="5">
                  <c:v>246.10833694720006</c:v>
                </c:pt>
                <c:pt idx="6">
                  <c:v>255.95267042508814</c:v>
                </c:pt>
                <c:pt idx="7">
                  <c:v>266.19077724209166</c:v>
                </c:pt>
                <c:pt idx="8">
                  <c:v>276.83840833177533</c:v>
                </c:pt>
                <c:pt idx="9">
                  <c:v>287.91194466504635</c:v>
                </c:pt>
                <c:pt idx="10">
                  <c:v>299.4284224516482</c:v>
                </c:pt>
                <c:pt idx="11">
                  <c:v>311.40555934971417</c:v>
                </c:pt>
                <c:pt idx="12">
                  <c:v>327.91005399524903</c:v>
                </c:pt>
                <c:pt idx="13">
                  <c:v>349.55211755893544</c:v>
                </c:pt>
                <c:pt idx="14">
                  <c:v>377.16673484609134</c:v>
                </c:pt>
                <c:pt idx="15">
                  <c:v>411.86607445193175</c:v>
                </c:pt>
                <c:pt idx="16">
                  <c:v>471.17478917300997</c:v>
                </c:pt>
                <c:pt idx="17">
                  <c:v>551.27450333242166</c:v>
                </c:pt>
                <c:pt idx="18">
                  <c:v>652.15773744225487</c:v>
                </c:pt>
                <c:pt idx="19">
                  <c:v>788.45870456768625</c:v>
                </c:pt>
                <c:pt idx="20">
                  <c:v>973.74650014109261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6701984"/>
        <c:axId val="-283653696"/>
      </c:scatterChart>
      <c:valAx>
        <c:axId val="-56701984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1106556549172268"/>
              <c:y val="0.9328413775990650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283653696"/>
        <c:crosses val="autoZero"/>
        <c:crossBetween val="midCat"/>
      </c:valAx>
      <c:valAx>
        <c:axId val="-283653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56701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Electricity usage (TWh) of Consumer Devices (incl. Wi-Fi devices) 2020-2030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'Cons Dev Best '!$F$41</c:f>
              <c:strCache>
                <c:ptCount val="1"/>
                <c:pt idx="0">
                  <c:v>Consumer devices Use Best</c:v>
                </c:pt>
              </c:strCache>
            </c:strRef>
          </c:tx>
          <c:dLbls>
            <c:dLbl>
              <c:idx val="10"/>
              <c:layout>
                <c:manualLayout>
                  <c:x val="-8.0294725900992171E-3"/>
                  <c:y val="-4.2642138222308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 Dev Best '!$G$40:$AA$40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'Cons Dev Best '!$G$41:$AA$41</c:f>
              <c:numCache>
                <c:formatCode>#,##0</c:formatCode>
                <c:ptCount val="21"/>
                <c:pt idx="0">
                  <c:v>812.99200000000008</c:v>
                </c:pt>
                <c:pt idx="1">
                  <c:v>782.77528124999992</c:v>
                </c:pt>
                <c:pt idx="2">
                  <c:v>759.4336393328125</c:v>
                </c:pt>
                <c:pt idx="3">
                  <c:v>735.02621170353927</c:v>
                </c:pt>
                <c:pt idx="4">
                  <c:v>713.18784622258204</c:v>
                </c:pt>
                <c:pt idx="5">
                  <c:v>692.73843171290298</c:v>
                </c:pt>
                <c:pt idx="6">
                  <c:v>673.94959864972907</c:v>
                </c:pt>
                <c:pt idx="7">
                  <c:v>657.51015871614106</c:v>
                </c:pt>
                <c:pt idx="8">
                  <c:v>643.49347181904557</c:v>
                </c:pt>
                <c:pt idx="9">
                  <c:v>631.17991480533954</c:v>
                </c:pt>
                <c:pt idx="10">
                  <c:v>619.82959923386886</c:v>
                </c:pt>
                <c:pt idx="11">
                  <c:v>598.83220804978021</c:v>
                </c:pt>
                <c:pt idx="12">
                  <c:v>570.83789519922732</c:v>
                </c:pt>
                <c:pt idx="13">
                  <c:v>537.22462692612351</c:v>
                </c:pt>
                <c:pt idx="14">
                  <c:v>508.65856475317935</c:v>
                </c:pt>
                <c:pt idx="15">
                  <c:v>484.45872165338307</c:v>
                </c:pt>
                <c:pt idx="16">
                  <c:v>466.29996065226669</c:v>
                </c:pt>
                <c:pt idx="17">
                  <c:v>452.83238907771238</c:v>
                </c:pt>
                <c:pt idx="18">
                  <c:v>443.3832194865837</c:v>
                </c:pt>
                <c:pt idx="19">
                  <c:v>439.14331708733636</c:v>
                </c:pt>
                <c:pt idx="20">
                  <c:v>440.98982651296217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'Cons Dev Best '!$F$42</c:f>
              <c:strCache>
                <c:ptCount val="1"/>
                <c:pt idx="0">
                  <c:v>Consumer devices Use Expected</c:v>
                </c:pt>
              </c:strCache>
            </c:strRef>
          </c:tx>
          <c:dLbls>
            <c:dLbl>
              <c:idx val="10"/>
              <c:layout>
                <c:manualLayout>
                  <c:x val="-9.6353671081190768E-3"/>
                  <c:y val="-5.9698993511232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'Cons Dev Best '!$G$40:$AA$40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'Cons Dev Best '!$G$42:$AA$42</c:f>
              <c:numCache>
                <c:formatCode>#,##0</c:formatCode>
                <c:ptCount val="21"/>
                <c:pt idx="0">
                  <c:v>1088.4199999999998</c:v>
                </c:pt>
                <c:pt idx="1">
                  <c:v>1065.44307875</c:v>
                </c:pt>
                <c:pt idx="2">
                  <c:v>1049.9421761648125</c:v>
                </c:pt>
                <c:pt idx="3">
                  <c:v>1035.4245784797611</c:v>
                </c:pt>
                <c:pt idx="4">
                  <c:v>1025.0269286937832</c:v>
                </c:pt>
                <c:pt idx="5">
                  <c:v>1018.7870757360428</c:v>
                </c:pt>
                <c:pt idx="6">
                  <c:v>1015.6228403356639</c:v>
                </c:pt>
                <c:pt idx="7">
                  <c:v>1011.6276133400809</c:v>
                </c:pt>
                <c:pt idx="8">
                  <c:v>1011.0271091336995</c:v>
                </c:pt>
                <c:pt idx="9">
                  <c:v>1013.68584316188</c:v>
                </c:pt>
                <c:pt idx="10">
                  <c:v>1038.5234219383763</c:v>
                </c:pt>
                <c:pt idx="11">
                  <c:v>1051.1192126601939</c:v>
                </c:pt>
                <c:pt idx="12">
                  <c:v>1054.3354920626057</c:v>
                </c:pt>
                <c:pt idx="13">
                  <c:v>1049.2865957437225</c:v>
                </c:pt>
                <c:pt idx="14">
                  <c:v>1036.6037323885841</c:v>
                </c:pt>
                <c:pt idx="15">
                  <c:v>1016.7411876808794</c:v>
                </c:pt>
                <c:pt idx="16">
                  <c:v>1007.8264868914262</c:v>
                </c:pt>
                <c:pt idx="17">
                  <c:v>1008.1782067997772</c:v>
                </c:pt>
                <c:pt idx="18">
                  <c:v>1017.1690064520277</c:v>
                </c:pt>
                <c:pt idx="19">
                  <c:v>1037.8097717444268</c:v>
                </c:pt>
                <c:pt idx="20">
                  <c:v>1072.9527648587175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83647712"/>
        <c:axId val="-1708581456"/>
      </c:scatterChart>
      <c:valAx>
        <c:axId val="-283647712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1431288575206926"/>
              <c:y val="0.9161043862660901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708581456"/>
        <c:crosses val="autoZero"/>
        <c:crossBetween val="midCat"/>
      </c:valAx>
      <c:valAx>
        <c:axId val="-17085814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2836477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22442867288041"/>
          <c:y val="0.20534300447101392"/>
          <c:w val="0.18725216025830471"/>
          <c:h val="0.609271094763590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Electricity usage (TWh) of Production 2020-2030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Production!$C$86</c:f>
              <c:strCache>
                <c:ptCount val="1"/>
                <c:pt idx="0">
                  <c:v>Production Best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Production!$D$85:$X$85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Production!$D$86:$X$86</c:f>
              <c:numCache>
                <c:formatCode>0</c:formatCode>
                <c:ptCount val="21"/>
                <c:pt idx="0">
                  <c:v>190.34407298919569</c:v>
                </c:pt>
                <c:pt idx="1">
                  <c:v>191.7131544083673</c:v>
                </c:pt>
                <c:pt idx="2">
                  <c:v>196.37195370757857</c:v>
                </c:pt>
                <c:pt idx="3">
                  <c:v>201.84949930120683</c:v>
                </c:pt>
                <c:pt idx="4">
                  <c:v>206.31892103747504</c:v>
                </c:pt>
                <c:pt idx="5">
                  <c:v>213.68581834688101</c:v>
                </c:pt>
                <c:pt idx="6">
                  <c:v>215.19442612624422</c:v>
                </c:pt>
                <c:pt idx="7">
                  <c:v>217.74369986750409</c:v>
                </c:pt>
                <c:pt idx="8">
                  <c:v>221.51625465840661</c:v>
                </c:pt>
                <c:pt idx="9">
                  <c:v>226.56408155507754</c:v>
                </c:pt>
                <c:pt idx="10">
                  <c:v>229.08992631802354</c:v>
                </c:pt>
                <c:pt idx="11">
                  <c:v>213.45034159517397</c:v>
                </c:pt>
                <c:pt idx="12">
                  <c:v>200.05831638591664</c:v>
                </c:pt>
                <c:pt idx="13">
                  <c:v>188.47234129521732</c:v>
                </c:pt>
                <c:pt idx="14">
                  <c:v>178.55712461896104</c:v>
                </c:pt>
                <c:pt idx="15">
                  <c:v>170.12855461628834</c:v>
                </c:pt>
                <c:pt idx="16">
                  <c:v>163.44986113487138</c:v>
                </c:pt>
                <c:pt idx="17">
                  <c:v>158.15936268195978</c:v>
                </c:pt>
                <c:pt idx="18">
                  <c:v>154.14458154331402</c:v>
                </c:pt>
                <c:pt idx="19">
                  <c:v>151.55674371153464</c:v>
                </c:pt>
                <c:pt idx="20">
                  <c:v>150.52759980747419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Production!$C$87</c:f>
              <c:strCache>
                <c:ptCount val="1"/>
                <c:pt idx="0">
                  <c:v>Production Expected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Production!$D$85:$X$85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Production!$D$87:$X$87</c:f>
              <c:numCache>
                <c:formatCode>#,##0</c:formatCode>
                <c:ptCount val="21"/>
                <c:pt idx="0">
                  <c:v>291.43102177671062</c:v>
                </c:pt>
                <c:pt idx="1">
                  <c:v>297.00104642547245</c:v>
                </c:pt>
                <c:pt idx="2">
                  <c:v>308.63237017224498</c:v>
                </c:pt>
                <c:pt idx="3">
                  <c:v>317.22924126904206</c:v>
                </c:pt>
                <c:pt idx="4">
                  <c:v>327.85381452986945</c:v>
                </c:pt>
                <c:pt idx="5">
                  <c:v>341.8162073076362</c:v>
                </c:pt>
                <c:pt idx="6">
                  <c:v>347.82077257284084</c:v>
                </c:pt>
                <c:pt idx="7">
                  <c:v>354.94108535977614</c:v>
                </c:pt>
                <c:pt idx="8">
                  <c:v>363.5650925999679</c:v>
                </c:pt>
                <c:pt idx="9">
                  <c:v>373.65504561707081</c:v>
                </c:pt>
                <c:pt idx="10">
                  <c:v>380.72556712639556</c:v>
                </c:pt>
                <c:pt idx="11">
                  <c:v>357.87211632784187</c:v>
                </c:pt>
                <c:pt idx="12">
                  <c:v>339.03203032465109</c:v>
                </c:pt>
                <c:pt idx="13">
                  <c:v>323.68619512451198</c:v>
                </c:pt>
                <c:pt idx="14">
                  <c:v>311.37934948075281</c:v>
                </c:pt>
                <c:pt idx="15">
                  <c:v>301.78118722120519</c:v>
                </c:pt>
                <c:pt idx="16">
                  <c:v>295.27211890949917</c:v>
                </c:pt>
                <c:pt idx="17">
                  <c:v>291.48660096467916</c:v>
                </c:pt>
                <c:pt idx="18">
                  <c:v>290.32131988346475</c:v>
                </c:pt>
                <c:pt idx="19">
                  <c:v>292.30166653406218</c:v>
                </c:pt>
                <c:pt idx="20">
                  <c:v>298.03786185519311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8579280"/>
        <c:axId val="-1708583088"/>
      </c:scatterChart>
      <c:valAx>
        <c:axId val="-1708579280"/>
        <c:scaling>
          <c:orientation val="minMax"/>
          <c:max val="2030"/>
          <c:min val="20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0225619687881031"/>
              <c:y val="0.9468537684822525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708583088"/>
        <c:crosses val="autoZero"/>
        <c:crossBetween val="midCat"/>
      </c:valAx>
      <c:valAx>
        <c:axId val="-170858308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-1708579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334748373844569"/>
          <c:y val="0.38768920699870357"/>
          <c:w val="0.28795686408764121"/>
          <c:h val="0.120967776306424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2000"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Electricity</a:t>
            </a:r>
            <a:r>
              <a:rPr lang="en-US" baseline="0"/>
              <a:t> footprint  (TWh) of Communication Technology 2010-2030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'Future 2030'!$A$2</c:f>
              <c:strCache>
                <c:ptCount val="1"/>
                <c:pt idx="0">
                  <c:v>Best Case (CAGR  0%)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'Future 2030'!$B$1:$V$1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'Future 2030'!$B$2:$V$2</c:f>
              <c:numCache>
                <c:formatCode>#,##0</c:formatCode>
                <c:ptCount val="21"/>
                <c:pt idx="0">
                  <c:v>1489.4196494597838</c:v>
                </c:pt>
                <c:pt idx="1">
                  <c:v>1477.4563179183672</c:v>
                </c:pt>
                <c:pt idx="2">
                  <c:v>1498.0774071558028</c:v>
                </c:pt>
                <c:pt idx="3">
                  <c:v>1437.3774894491958</c:v>
                </c:pt>
                <c:pt idx="4">
                  <c:v>1389.80728483702</c:v>
                </c:pt>
                <c:pt idx="5">
                  <c:v>1350.1338226050268</c:v>
                </c:pt>
                <c:pt idx="6">
                  <c:v>1309.2717521356853</c:v>
                </c:pt>
                <c:pt idx="7">
                  <c:v>1273.8088940892421</c:v>
                </c:pt>
                <c:pt idx="8">
                  <c:v>1247.4265678042671</c:v>
                </c:pt>
                <c:pt idx="9">
                  <c:v>1225.5985532590714</c:v>
                </c:pt>
                <c:pt idx="10">
                  <c:v>1204.4156416781418</c:v>
                </c:pt>
                <c:pt idx="11">
                  <c:v>1154.8626087176358</c:v>
                </c:pt>
                <c:pt idx="12">
                  <c:v>1113.1874057047908</c:v>
                </c:pt>
                <c:pt idx="13">
                  <c:v>1070.9547745995339</c:v>
                </c:pt>
                <c:pt idx="14">
                  <c:v>1042.2902147750101</c:v>
                </c:pt>
                <c:pt idx="15">
                  <c:v>1025.8209572249134</c:v>
                </c:pt>
                <c:pt idx="16">
                  <c:v>1043.4383368633098</c:v>
                </c:pt>
                <c:pt idx="17">
                  <c:v>1081.5142358415533</c:v>
                </c:pt>
                <c:pt idx="18">
                  <c:v>1138.4832554032887</c:v>
                </c:pt>
                <c:pt idx="19">
                  <c:v>1226.8990813242644</c:v>
                </c:pt>
                <c:pt idx="20">
                  <c:v>1357.2177688060731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'Future 2030'!$A$3</c:f>
              <c:strCache>
                <c:ptCount val="1"/>
                <c:pt idx="0">
                  <c:v>Expected (CAGR  3%)</c:v>
                </c:pt>
              </c:strCache>
            </c:strRef>
          </c:tx>
          <c:dLbls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'Future 2030'!$B$1:$V$1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'Future 2030'!$B$3:$V$3</c:f>
              <c:numCache>
                <c:formatCode>#,##0</c:formatCode>
                <c:ptCount val="21"/>
                <c:pt idx="0">
                  <c:v>1941.906588835534</c:v>
                </c:pt>
                <c:pt idx="1">
                  <c:v>1947.1383793986254</c:v>
                </c:pt>
                <c:pt idx="2">
                  <c:v>1989.9879565682199</c:v>
                </c:pt>
                <c:pt idx="3">
                  <c:v>1950.857454724925</c:v>
                </c:pt>
                <c:pt idx="4">
                  <c:v>1940.1882951741463</c:v>
                </c:pt>
                <c:pt idx="5">
                  <c:v>1938.0801169429008</c:v>
                </c:pt>
                <c:pt idx="6">
                  <c:v>1933.9489974797725</c:v>
                </c:pt>
                <c:pt idx="7">
                  <c:v>1927.1164087645693</c:v>
                </c:pt>
                <c:pt idx="8">
                  <c:v>1935.3716395681736</c:v>
                </c:pt>
                <c:pt idx="9">
                  <c:v>1950.1139272889127</c:v>
                </c:pt>
                <c:pt idx="10">
                  <c:v>1987.9809835698884</c:v>
                </c:pt>
                <c:pt idx="11">
                  <c:v>1985.5882686426348</c:v>
                </c:pt>
                <c:pt idx="12">
                  <c:v>1987.0356098822194</c:v>
                </c:pt>
                <c:pt idx="13">
                  <c:v>1996.5815563533833</c:v>
                </c:pt>
                <c:pt idx="14">
                  <c:v>2015.3545888699466</c:v>
                </c:pt>
                <c:pt idx="15">
                  <c:v>2045.7684307134173</c:v>
                </c:pt>
                <c:pt idx="16">
                  <c:v>2139.4747069892446</c:v>
                </c:pt>
                <c:pt idx="17">
                  <c:v>2287.7023986916647</c:v>
                </c:pt>
                <c:pt idx="18">
                  <c:v>2493.0544470981463</c:v>
                </c:pt>
                <c:pt idx="19">
                  <c:v>2790.8321616365556</c:v>
                </c:pt>
                <c:pt idx="20">
                  <c:v>3218.3719865675844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8588528"/>
        <c:axId val="-1708586896"/>
      </c:scatterChart>
      <c:valAx>
        <c:axId val="-1708588528"/>
        <c:scaling>
          <c:orientation val="minMax"/>
          <c:max val="2030"/>
          <c:min val="20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1708586896"/>
        <c:crosses val="autoZero"/>
        <c:crossBetween val="midCat"/>
        <c:majorUnit val="2"/>
      </c:valAx>
      <c:valAx>
        <c:axId val="-17085868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70858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953040126239769"/>
          <c:y val="0.40047385316031936"/>
          <c:w val="0.22284163552540676"/>
          <c:h val="0.1040063077767532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 of Communication Technology </a:t>
            </a:r>
            <a:r>
              <a:rPr lang="en-US" baseline="0"/>
              <a:t>of global electricity usage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'Future 2030'!$A$10</c:f>
              <c:strCache>
                <c:ptCount val="1"/>
                <c:pt idx="0">
                  <c:v>Best Case</c:v>
                </c:pt>
              </c:strCache>
            </c:strRef>
          </c:tx>
          <c:dLbls>
            <c:dLbl>
              <c:idx val="10"/>
              <c:layout>
                <c:manualLayout>
                  <c:x val="-3.0796033972918035E-2"/>
                  <c:y val="-3.1319916644631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'Future 2030'!$B$9:$V$9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'Future 2030'!$B$10:$V$10</c:f>
              <c:numCache>
                <c:formatCode>0%</c:formatCode>
                <c:ptCount val="21"/>
                <c:pt idx="0">
                  <c:v>7.6849473683493305E-2</c:v>
                </c:pt>
                <c:pt idx="1">
                  <c:v>7.3739140410031698E-2</c:v>
                </c:pt>
                <c:pt idx="2">
                  <c:v>7.2025620653061395E-2</c:v>
                </c:pt>
                <c:pt idx="3">
                  <c:v>6.682189813138513E-2</c:v>
                </c:pt>
                <c:pt idx="4">
                  <c:v>6.241855065575589E-2</c:v>
                </c:pt>
                <c:pt idx="5">
                  <c:v>5.854542188544986E-2</c:v>
                </c:pt>
                <c:pt idx="6">
                  <c:v>5.4806722791211293E-2</c:v>
                </c:pt>
                <c:pt idx="7">
                  <c:v>5.145328125254614E-2</c:v>
                </c:pt>
                <c:pt idx="8">
                  <c:v>4.8595592518477414E-2</c:v>
                </c:pt>
                <c:pt idx="9">
                  <c:v>4.6718222185112512E-2</c:v>
                </c:pt>
                <c:pt idx="10">
                  <c:v>4.4919329271276363E-2</c:v>
                </c:pt>
                <c:pt idx="11">
                  <c:v>4.2182280089334195E-2</c:v>
                </c:pt>
                <c:pt idx="12">
                  <c:v>3.9805616298372627E-2</c:v>
                </c:pt>
                <c:pt idx="13">
                  <c:v>3.7488163090513359E-2</c:v>
                </c:pt>
                <c:pt idx="14">
                  <c:v>3.5696005495200279E-2</c:v>
                </c:pt>
                <c:pt idx="15">
                  <c:v>3.435623348334519E-2</c:v>
                </c:pt>
                <c:pt idx="16">
                  <c:v>3.413502967604095E-2</c:v>
                </c:pt>
                <c:pt idx="17">
                  <c:v>3.4537029794626209E-2</c:v>
                </c:pt>
                <c:pt idx="18">
                  <c:v>3.5469871286676266E-2</c:v>
                </c:pt>
                <c:pt idx="19">
                  <c:v>3.7259357171438093E-2</c:v>
                </c:pt>
                <c:pt idx="20">
                  <c:v>4.0130891308956598E-2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'Future 2030'!$A$11</c:f>
              <c:strCache>
                <c:ptCount val="1"/>
                <c:pt idx="0">
                  <c:v>Expected</c:v>
                </c:pt>
              </c:strCache>
            </c:strRef>
          </c:tx>
          <c:dLbls>
            <c:dLbl>
              <c:idx val="10"/>
              <c:layout>
                <c:manualLayout>
                  <c:x val="-3.9853691023776401E-2"/>
                  <c:y val="-3.653990275207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'Future 2030'!$B$9:$V$9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xVal>
          <c:yVal>
            <c:numRef>
              <c:f>'Future 2030'!$B$11:$V$11</c:f>
              <c:numCache>
                <c:formatCode>0%</c:formatCode>
                <c:ptCount val="21"/>
                <c:pt idx="0">
                  <c:v>0.10019640827798018</c:v>
                </c:pt>
                <c:pt idx="1">
                  <c:v>9.7180748164880731E-2</c:v>
                </c:pt>
                <c:pt idx="2">
                  <c:v>9.5676042492400276E-2</c:v>
                </c:pt>
                <c:pt idx="3">
                  <c:v>9.0692945357337046E-2</c:v>
                </c:pt>
                <c:pt idx="4">
                  <c:v>8.7137074834252079E-2</c:v>
                </c:pt>
                <c:pt idx="5">
                  <c:v>8.4040349330184741E-2</c:v>
                </c:pt>
                <c:pt idx="6">
                  <c:v>8.0956002009757208E-2</c:v>
                </c:pt>
                <c:pt idx="7">
                  <c:v>7.7842495092213748E-2</c:v>
                </c:pt>
                <c:pt idx="8">
                  <c:v>7.5395645720309781E-2</c:v>
                </c:pt>
                <c:pt idx="9">
                  <c:v>7.4279008359426427E-2</c:v>
                </c:pt>
                <c:pt idx="10">
                  <c:v>7.3971215775144178E-2</c:v>
                </c:pt>
                <c:pt idx="11">
                  <c:v>7.2282171177437557E-2</c:v>
                </c:pt>
                <c:pt idx="12">
                  <c:v>7.0755738689413275E-2</c:v>
                </c:pt>
                <c:pt idx="13">
                  <c:v>6.9521565303500107E-2</c:v>
                </c:pt>
                <c:pt idx="14">
                  <c:v>6.8598500050983058E-2</c:v>
                </c:pt>
                <c:pt idx="15">
                  <c:v>6.8042292622512213E-2</c:v>
                </c:pt>
                <c:pt idx="16">
                  <c:v>6.9390637724664431E-2</c:v>
                </c:pt>
                <c:pt idx="17">
                  <c:v>7.2237497332675177E-2</c:v>
                </c:pt>
                <c:pt idx="18">
                  <c:v>7.6521739058500196E-2</c:v>
                </c:pt>
                <c:pt idx="19">
                  <c:v>8.3061603896052855E-2</c:v>
                </c:pt>
                <c:pt idx="20">
                  <c:v>9.2571080650269935E-2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08585264"/>
        <c:axId val="-1708582544"/>
      </c:scatterChart>
      <c:valAx>
        <c:axId val="-1708585264"/>
        <c:scaling>
          <c:orientation val="minMax"/>
          <c:max val="2030"/>
          <c:min val="20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Year</a:t>
                </a:r>
              </a:p>
            </c:rich>
          </c:tx>
          <c:layout>
            <c:manualLayout>
              <c:xMode val="edge"/>
              <c:yMode val="edge"/>
              <c:x val="0.41431281548506665"/>
              <c:y val="0.9481947757797465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708582544"/>
        <c:crosses val="autoZero"/>
        <c:crossBetween val="midCat"/>
      </c:valAx>
      <c:valAx>
        <c:axId val="-17085825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-170858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Expected Case scenario 2030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4265520574018103"/>
                  <c:y val="0.123186648408285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058350023882899E-2"/>
                  <c:y val="-4.942425243202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990818200522283E-2"/>
                  <c:y val="3.24369360431300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Production</a:t>
                    </a:r>
                    <a:r>
                      <a:rPr lang="en-US" baseline="0"/>
                      <a:t> 17 %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547618691835351E-2"/>
                  <c:y val="2.6961464254054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61387300273806E-2"/>
                  <c:y val="2.18917337319590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500" baseline="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2030'!$F$72:$F$75</c:f>
              <c:strCache>
                <c:ptCount val="4"/>
                <c:pt idx="0">
                  <c:v>Consumer devices use</c:v>
                </c:pt>
                <c:pt idx="1">
                  <c:v>Networks Use</c:v>
                </c:pt>
                <c:pt idx="2">
                  <c:v>Data Centers Use</c:v>
                </c:pt>
                <c:pt idx="3">
                  <c:v>Production</c:v>
                </c:pt>
              </c:strCache>
            </c:strRef>
          </c:cat>
          <c:val>
            <c:numRef>
              <c:f>'Future 2030'!$G$72:$G$75</c:f>
              <c:numCache>
                <c:formatCode>0</c:formatCode>
                <c:ptCount val="4"/>
                <c:pt idx="0">
                  <c:v>1072.9527648587175</c:v>
                </c:pt>
                <c:pt idx="1">
                  <c:v>873.63485971258115</c:v>
                </c:pt>
                <c:pt idx="2">
                  <c:v>973.74650014109261</c:v>
                </c:pt>
                <c:pt idx="3">
                  <c:v>298.03786185519311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7</xdr:col>
      <xdr:colOff>75037</xdr:colOff>
      <xdr:row>55</xdr:row>
      <xdr:rowOff>153509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12379"/>
        <a:stretch>
          <a:fillRect/>
        </a:stretch>
      </xdr:blipFill>
      <xdr:spPr bwMode="auto">
        <a:xfrm>
          <a:off x="3316941" y="6454588"/>
          <a:ext cx="4176390" cy="26636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4900363</xdr:colOff>
      <xdr:row>269</xdr:row>
      <xdr:rowOff>70631</xdr:rowOff>
    </xdr:from>
    <xdr:to>
      <xdr:col>10</xdr:col>
      <xdr:colOff>5753759</xdr:colOff>
      <xdr:row>295</xdr:row>
      <xdr:rowOff>168645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4816928</xdr:colOff>
      <xdr:row>309</xdr:row>
      <xdr:rowOff>95250</xdr:rowOff>
    </xdr:from>
    <xdr:to>
      <xdr:col>11</xdr:col>
      <xdr:colOff>5660572</xdr:colOff>
      <xdr:row>332</xdr:row>
      <xdr:rowOff>54428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158749</xdr:colOff>
      <xdr:row>222</xdr:row>
      <xdr:rowOff>12410</xdr:rowOff>
    </xdr:from>
    <xdr:to>
      <xdr:col>21</xdr:col>
      <xdr:colOff>396874</xdr:colOff>
      <xdr:row>246</xdr:row>
      <xdr:rowOff>66385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858778</xdr:colOff>
      <xdr:row>22</xdr:row>
      <xdr:rowOff>135487</xdr:rowOff>
    </xdr:from>
    <xdr:to>
      <xdr:col>9</xdr:col>
      <xdr:colOff>115115</xdr:colOff>
      <xdr:row>56</xdr:row>
      <xdr:rowOff>113076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1457325</xdr:colOff>
      <xdr:row>44</xdr:row>
      <xdr:rowOff>9525</xdr:rowOff>
    </xdr:from>
    <xdr:to>
      <xdr:col>17</xdr:col>
      <xdr:colOff>542925</xdr:colOff>
      <xdr:row>70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358588</xdr:colOff>
      <xdr:row>88</xdr:row>
      <xdr:rowOff>89647</xdr:rowOff>
    </xdr:from>
    <xdr:to>
      <xdr:col>14</xdr:col>
      <xdr:colOff>224117</xdr:colOff>
      <xdr:row>125</xdr:row>
      <xdr:rowOff>67235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668564</xdr:colOff>
      <xdr:row>58</xdr:row>
      <xdr:rowOff>39914</xdr:rowOff>
    </xdr:from>
    <xdr:to>
      <xdr:col>23</xdr:col>
      <xdr:colOff>678089</xdr:colOff>
      <xdr:row>77</xdr:row>
      <xdr:rowOff>65314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247406</xdr:colOff>
      <xdr:row>52</xdr:row>
      <xdr:rowOff>131991</xdr:rowOff>
    </xdr:from>
    <xdr:to>
      <xdr:col>15</xdr:col>
      <xdr:colOff>77106</xdr:colOff>
      <xdr:row>86</xdr:row>
      <xdr:rowOff>92075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557894</xdr:colOff>
      <xdr:row>110</xdr:row>
      <xdr:rowOff>136071</xdr:rowOff>
    </xdr:from>
    <xdr:to>
      <xdr:col>9</xdr:col>
      <xdr:colOff>1333499</xdr:colOff>
      <xdr:row>133</xdr:row>
      <xdr:rowOff>54428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421821</xdr:colOff>
      <xdr:row>83</xdr:row>
      <xdr:rowOff>149678</xdr:rowOff>
    </xdr:from>
    <xdr:to>
      <xdr:col>9</xdr:col>
      <xdr:colOff>1156606</xdr:colOff>
      <xdr:row>109</xdr:row>
      <xdr:rowOff>13607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1961029</xdr:colOff>
      <xdr:row>84</xdr:row>
      <xdr:rowOff>0</xdr:rowOff>
    </xdr:from>
    <xdr:to>
      <xdr:col>5</xdr:col>
      <xdr:colOff>244930</xdr:colOff>
      <xdr:row>109</xdr:row>
      <xdr:rowOff>40822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1938618</xdr:colOff>
      <xdr:row>110</xdr:row>
      <xdr:rowOff>40822</xdr:rowOff>
    </xdr:from>
    <xdr:to>
      <xdr:col>5</xdr:col>
      <xdr:colOff>258535</xdr:colOff>
      <xdr:row>131</xdr:row>
      <xdr:rowOff>136072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3873501</xdr:colOff>
      <xdr:row>183</xdr:row>
      <xdr:rowOff>163944</xdr:rowOff>
    </xdr:from>
    <xdr:to>
      <xdr:col>4</xdr:col>
      <xdr:colOff>1284111</xdr:colOff>
      <xdr:row>202</xdr:row>
      <xdr:rowOff>134056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3869971</xdr:colOff>
      <xdr:row>203</xdr:row>
      <xdr:rowOff>138287</xdr:rowOff>
    </xdr:from>
    <xdr:to>
      <xdr:col>4</xdr:col>
      <xdr:colOff>1284110</xdr:colOff>
      <xdr:row>222</xdr:row>
      <xdr:rowOff>126999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49679</xdr:colOff>
      <xdr:row>5</xdr:row>
      <xdr:rowOff>107790</xdr:rowOff>
    </xdr:from>
    <xdr:to>
      <xdr:col>21</xdr:col>
      <xdr:colOff>86739</xdr:colOff>
      <xdr:row>30</xdr:row>
      <xdr:rowOff>37351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vergedigest.com/2012/10/cisco-global-data-center-traffic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heguardian.com/environment/2014/sep/18/world-population-new-study-11bn-2100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Y58"/>
  <sheetViews>
    <sheetView zoomScale="40" zoomScaleNormal="40" workbookViewId="0">
      <selection activeCell="F34" sqref="F34"/>
    </sheetView>
  </sheetViews>
  <sheetFormatPr defaultColWidth="9" defaultRowHeight="12.5" x14ac:dyDescent="0.25"/>
  <cols>
    <col min="1" max="1" width="43.4609375" style="42" bestFit="1" customWidth="1"/>
    <col min="2" max="16384" width="9" style="42"/>
  </cols>
  <sheetData>
    <row r="4" spans="1:45" s="54" customFormat="1" ht="13" x14ac:dyDescent="0.3">
      <c r="B4" s="134">
        <v>2010</v>
      </c>
      <c r="C4" s="134">
        <v>2011</v>
      </c>
      <c r="D4" s="134">
        <v>2012</v>
      </c>
      <c r="E4" s="134">
        <v>2013</v>
      </c>
      <c r="F4" s="134">
        <v>2014</v>
      </c>
      <c r="G4" s="134">
        <v>2015</v>
      </c>
      <c r="H4" s="134">
        <v>2016</v>
      </c>
      <c r="I4" s="134">
        <v>2017</v>
      </c>
      <c r="J4" s="134">
        <v>2018</v>
      </c>
      <c r="K4" s="134">
        <v>2019</v>
      </c>
      <c r="L4" s="134">
        <v>2020</v>
      </c>
      <c r="M4" s="134">
        <v>2021</v>
      </c>
      <c r="N4" s="134">
        <v>2022</v>
      </c>
      <c r="O4" s="134">
        <v>2023</v>
      </c>
      <c r="P4" s="134">
        <v>2024</v>
      </c>
      <c r="Q4" s="134">
        <v>2025</v>
      </c>
      <c r="R4" s="134">
        <v>2026</v>
      </c>
      <c r="S4" s="134">
        <v>2027</v>
      </c>
      <c r="T4" s="134">
        <v>2028</v>
      </c>
      <c r="U4" s="134">
        <v>2029</v>
      </c>
      <c r="V4" s="134">
        <v>2030</v>
      </c>
    </row>
    <row r="5" spans="1:45" s="54" customFormat="1" x14ac:dyDescent="0.25">
      <c r="A5" s="54" t="s">
        <v>228</v>
      </c>
      <c r="B5" s="53">
        <f>SUM('WAN FAN Wi-Fi'!F57:F72)</f>
        <v>3.8400000000000003</v>
      </c>
      <c r="C5" s="53">
        <f>SUM('WAN FAN Wi-Fi'!G57:G72)</f>
        <v>6.48</v>
      </c>
      <c r="D5" s="53">
        <f>SUM('WAN FAN Wi-Fi'!H57:H72)</f>
        <v>10.8</v>
      </c>
      <c r="E5" s="53">
        <f>SUM('WAN FAN Wi-Fi'!I57:I72)</f>
        <v>19.2</v>
      </c>
      <c r="F5" s="53">
        <f>SUM('WAN FAN Wi-Fi'!J57:J72)</f>
        <v>33.599999999999994</v>
      </c>
      <c r="G5" s="53">
        <f>SUM('WAN FAN Wi-Fi'!K57:K72)</f>
        <v>56.4</v>
      </c>
      <c r="H5" s="53">
        <f>SUM('WAN FAN Wi-Fi'!L57:L72)</f>
        <v>88.8</v>
      </c>
      <c r="I5" s="53">
        <f>SUM('WAN FAN Wi-Fi'!M57:M72)</f>
        <v>134.39999999999998</v>
      </c>
      <c r="J5" s="53">
        <f>SUM('WAN FAN Wi-Fi'!N57:N72)</f>
        <v>212.35199999999998</v>
      </c>
      <c r="K5" s="53">
        <f>SUM('WAN FAN Wi-Fi'!O57:O72)</f>
        <v>335.51616000000007</v>
      </c>
      <c r="L5" s="53">
        <f>SUM('WAN FAN Wi-Fi'!P57:P72)</f>
        <v>530.1155328000001</v>
      </c>
      <c r="M5" s="53">
        <f>'WAN FAN Wi-Fi'!Q77</f>
        <v>757.94823529411758</v>
      </c>
      <c r="N5" s="53">
        <f>'WAN FAN Wi-Fi'!R77</f>
        <v>1059.1020580789275</v>
      </c>
      <c r="O5" s="53">
        <f>'WAN FAN Wi-Fi'!S77</f>
        <v>1477.904280799645</v>
      </c>
      <c r="P5" s="53">
        <f>'WAN FAN Wi-Fi'!T77</f>
        <v>2061.7347465015469</v>
      </c>
      <c r="Q5" s="53">
        <f>'WAN FAN Wi-Fi'!U77</f>
        <v>2876.8887247184211</v>
      </c>
      <c r="R5" s="53">
        <f>'WAN FAN Wi-Fi'!V77</f>
        <v>4194.0784828346395</v>
      </c>
      <c r="S5" s="53">
        <f>'WAN FAN Wi-Fi'!W77</f>
        <v>5944.9669025933126</v>
      </c>
      <c r="T5" s="53">
        <f>'WAN FAN Wi-Fi'!X77</f>
        <v>8313.6485774417561</v>
      </c>
      <c r="U5" s="53">
        <f>'WAN FAN Wi-Fi'!Y77</f>
        <v>11556.646619736428</v>
      </c>
      <c r="V5" s="53">
        <f>'WAN FAN Wi-Fi'!Z77</f>
        <v>16032.02183876516</v>
      </c>
      <c r="AD5" s="135"/>
      <c r="AS5" s="135"/>
    </row>
    <row r="6" spans="1:45" s="54" customFormat="1" x14ac:dyDescent="0.25">
      <c r="A6" s="54" t="s">
        <v>229</v>
      </c>
      <c r="B6" s="53">
        <f>SUM('WAN FAN Wi-Fi'!F57:F72)</f>
        <v>3.8400000000000003</v>
      </c>
      <c r="C6" s="53">
        <f>SUM('WAN FAN Wi-Fi'!G57:G72)</f>
        <v>6.48</v>
      </c>
      <c r="D6" s="53">
        <f>SUM('WAN FAN Wi-Fi'!H57:H72)</f>
        <v>10.8</v>
      </c>
      <c r="E6" s="53">
        <f>SUM('WAN FAN Wi-Fi'!I57:I72)</f>
        <v>19.2</v>
      </c>
      <c r="F6" s="53">
        <f>SUM('WAN FAN Wi-Fi'!J57:J72)</f>
        <v>33.599999999999994</v>
      </c>
      <c r="G6" s="53">
        <f>SUM('WAN FAN Wi-Fi'!K57:K72)</f>
        <v>56.4</v>
      </c>
      <c r="H6" s="53">
        <f>SUM('WAN FAN Wi-Fi'!L57:L72)</f>
        <v>88.8</v>
      </c>
      <c r="I6" s="53">
        <f>SUM('WAN FAN Wi-Fi'!M57:M72)</f>
        <v>134.39999999999998</v>
      </c>
      <c r="J6" s="53">
        <f>SUM('WAN FAN Wi-Fi'!N57:N72)</f>
        <v>212.35199999999998</v>
      </c>
      <c r="K6" s="53">
        <f>SUM('WAN FAN Wi-Fi'!O57:O72)</f>
        <v>335.51616000000007</v>
      </c>
      <c r="L6" s="53">
        <f>SUM('WAN FAN Wi-Fi'!P57:P72)</f>
        <v>530.1155328000001</v>
      </c>
      <c r="M6" s="53">
        <f>'WAN FAN Wi-Fi'!Q78</f>
        <v>810.74823529411765</v>
      </c>
      <c r="N6" s="53">
        <f>'WAN FAN Wi-Fi'!R78</f>
        <v>1209.3548175725987</v>
      </c>
      <c r="O6" s="53">
        <f>'WAN FAN Wi-Fi'!S78</f>
        <v>1805.8294210015363</v>
      </c>
      <c r="P6" s="53">
        <f>'WAN FAN Wi-Fi'!T78</f>
        <v>2699.1787280543249</v>
      </c>
      <c r="Q6" s="53">
        <f>'WAN FAN Wi-Fi'!U78</f>
        <v>4037.9090828512772</v>
      </c>
      <c r="R6" s="53">
        <f>'WAN FAN Wi-Fi'!V78</f>
        <v>6156.4334703167378</v>
      </c>
      <c r="S6" s="53">
        <f>'WAN FAN Wi-Fi'!W78</f>
        <v>9271.5721293029346</v>
      </c>
      <c r="T6" s="53">
        <f>'WAN FAN Wi-Fi'!X78</f>
        <v>13884.804242264512</v>
      </c>
      <c r="U6" s="53">
        <f>'WAN FAN Wi-Fi'!Y78</f>
        <v>20748.187972924243</v>
      </c>
      <c r="V6" s="53">
        <f>'WAN FAN Wi-Fi'!Z78</f>
        <v>30989.658089056891</v>
      </c>
      <c r="AD6" s="135"/>
      <c r="AS6" s="135"/>
    </row>
    <row r="7" spans="1:45" s="54" customFormat="1" x14ac:dyDescent="0.25">
      <c r="A7" s="54" t="s">
        <v>230</v>
      </c>
      <c r="B7" s="53">
        <f>SUM('WAN FAN Wi-Fi'!F57:F72)</f>
        <v>3.8400000000000003</v>
      </c>
      <c r="C7" s="53">
        <f>SUM('WAN FAN Wi-Fi'!G57:G72)</f>
        <v>6.48</v>
      </c>
      <c r="D7" s="53">
        <f>SUM('WAN FAN Wi-Fi'!H57:H72)</f>
        <v>10.8</v>
      </c>
      <c r="E7" s="53">
        <f>SUM('WAN FAN Wi-Fi'!I57:I72)</f>
        <v>19.2</v>
      </c>
      <c r="F7" s="53">
        <f>SUM('WAN FAN Wi-Fi'!J57:J72)</f>
        <v>33.599999999999994</v>
      </c>
      <c r="G7" s="53">
        <f>SUM('WAN FAN Wi-Fi'!K57:K72)</f>
        <v>56.4</v>
      </c>
      <c r="H7" s="53">
        <f>SUM('WAN FAN Wi-Fi'!L57:L72)</f>
        <v>88.8</v>
      </c>
      <c r="I7" s="53">
        <f>SUM('WAN FAN Wi-Fi'!M57:M72)</f>
        <v>134.39999999999998</v>
      </c>
      <c r="J7" s="53">
        <f>SUM('WAN FAN Wi-Fi'!N57:N72)</f>
        <v>212.35199999999998</v>
      </c>
      <c r="K7" s="53">
        <f>SUM('WAN FAN Wi-Fi'!O57:O72)</f>
        <v>335.51616000000007</v>
      </c>
      <c r="L7" s="53">
        <f>SUM('WAN FAN Wi-Fi'!P57:P72)</f>
        <v>530.1155328000001</v>
      </c>
      <c r="M7" s="53">
        <f>'WAN FAN Wi-Fi'!Q79</f>
        <v>850.87623529411769</v>
      </c>
      <c r="N7" s="53">
        <f>'WAN FAN Wi-Fi'!R79</f>
        <v>1357.061146686523</v>
      </c>
      <c r="O7" s="53">
        <f>'WAN FAN Wi-Fi'!S79</f>
        <v>2167.3652594889591</v>
      </c>
      <c r="P7" s="53">
        <f>'WAN FAN Wi-Fi'!T79</f>
        <v>3464.2652623268687</v>
      </c>
      <c r="Q7" s="53">
        <f>'WAN FAN Wi-Fi'!U79</f>
        <v>5539.723922415892</v>
      </c>
      <c r="R7" s="53">
        <f>'WAN FAN Wi-Fi'!V79</f>
        <v>8822.3366107085749</v>
      </c>
      <c r="S7" s="53">
        <f>'WAN FAN Wi-Fi'!W79</f>
        <v>14097.585394235339</v>
      </c>
      <c r="T7" s="53">
        <f>'WAN FAN Wi-Fi'!X79</f>
        <v>22561.343936241181</v>
      </c>
      <c r="U7" s="53">
        <f>'WAN FAN Wi-Fi'!Y79</f>
        <v>36127.013794197883</v>
      </c>
      <c r="V7" s="53">
        <f>'WAN FAN Wi-Fi'!Z79</f>
        <v>57856.041203128465</v>
      </c>
      <c r="AD7" s="135"/>
      <c r="AS7" s="135"/>
    </row>
    <row r="8" spans="1:45" s="54" customForma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AD8" s="135"/>
      <c r="AS8" s="135"/>
    </row>
    <row r="9" spans="1:45" s="54" customFormat="1" x14ac:dyDescent="0.25">
      <c r="A9" s="54" t="s">
        <v>243</v>
      </c>
      <c r="B9" s="53">
        <v>18.748235294117642</v>
      </c>
      <c r="C9" s="53">
        <v>18.748235294117642</v>
      </c>
      <c r="D9" s="53">
        <v>18.748235294117642</v>
      </c>
      <c r="E9" s="53">
        <v>18.748235294117642</v>
      </c>
      <c r="F9" s="53">
        <v>18.748235294117642</v>
      </c>
      <c r="G9" s="53">
        <v>18.748235294117642</v>
      </c>
      <c r="H9" s="53">
        <v>18.748235294117642</v>
      </c>
      <c r="I9" s="53">
        <v>18.748235294117642</v>
      </c>
      <c r="J9" s="53">
        <v>18.748235294117642</v>
      </c>
      <c r="K9" s="53">
        <v>18.748235294117642</v>
      </c>
      <c r="L9" s="53">
        <v>18.748235294117642</v>
      </c>
      <c r="M9" s="53">
        <v>18.748235294117642</v>
      </c>
      <c r="N9" s="53">
        <v>18.748235294117642</v>
      </c>
      <c r="O9" s="53">
        <v>18.748235294117642</v>
      </c>
      <c r="P9" s="53">
        <v>18.748235294117642</v>
      </c>
      <c r="Q9" s="53">
        <v>18.748235294117642</v>
      </c>
      <c r="R9" s="53">
        <v>18.748235294117642</v>
      </c>
      <c r="S9" s="53">
        <v>18.748235294117642</v>
      </c>
      <c r="T9" s="53">
        <v>18.748235294117642</v>
      </c>
      <c r="U9" s="53">
        <v>18.748235294117642</v>
      </c>
      <c r="V9" s="53">
        <v>18.748235294117642</v>
      </c>
    </row>
    <row r="10" spans="1:45" s="116" customFormat="1" ht="13" x14ac:dyDescent="0.3"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</row>
    <row r="11" spans="1:45" s="116" customFormat="1" ht="13" x14ac:dyDescent="0.3">
      <c r="A11" s="53" t="s">
        <v>283</v>
      </c>
      <c r="B11" s="53">
        <v>207</v>
      </c>
      <c r="C11" s="53">
        <v>236</v>
      </c>
      <c r="D11" s="53">
        <v>270</v>
      </c>
      <c r="E11" s="53">
        <f>D11*1.13</f>
        <v>305.09999999999997</v>
      </c>
      <c r="F11" s="53">
        <f t="shared" ref="F11:V11" si="0">E11*1.13</f>
        <v>344.76299999999992</v>
      </c>
      <c r="G11" s="53">
        <f t="shared" si="0"/>
        <v>389.58218999999985</v>
      </c>
      <c r="H11" s="53">
        <f t="shared" si="0"/>
        <v>440.2278746999998</v>
      </c>
      <c r="I11" s="53">
        <f t="shared" si="0"/>
        <v>497.45749841099973</v>
      </c>
      <c r="J11" s="53">
        <f t="shared" si="0"/>
        <v>562.12697320442965</v>
      </c>
      <c r="K11" s="53">
        <f t="shared" si="0"/>
        <v>635.20347972100546</v>
      </c>
      <c r="L11" s="53">
        <f>K11*1.13</f>
        <v>717.77993208473606</v>
      </c>
      <c r="M11" s="53">
        <f t="shared" si="0"/>
        <v>811.09132325575172</v>
      </c>
      <c r="N11" s="53">
        <f t="shared" si="0"/>
        <v>916.5331952789993</v>
      </c>
      <c r="O11" s="53">
        <f t="shared" si="0"/>
        <v>1035.6825106652691</v>
      </c>
      <c r="P11" s="53">
        <f t="shared" si="0"/>
        <v>1170.321237051754</v>
      </c>
      <c r="Q11" s="53">
        <f t="shared" si="0"/>
        <v>1322.4629978684818</v>
      </c>
      <c r="R11" s="53">
        <f t="shared" si="0"/>
        <v>1494.3831875913843</v>
      </c>
      <c r="S11" s="53">
        <f t="shared" si="0"/>
        <v>1688.653001978264</v>
      </c>
      <c r="T11" s="53">
        <f t="shared" si="0"/>
        <v>1908.1778922354381</v>
      </c>
      <c r="U11" s="53">
        <f t="shared" si="0"/>
        <v>2156.2410182260446</v>
      </c>
      <c r="V11" s="53">
        <f t="shared" si="0"/>
        <v>2436.5523505954302</v>
      </c>
      <c r="W11" s="53"/>
    </row>
    <row r="12" spans="1:45" s="116" customFormat="1" ht="13" x14ac:dyDescent="0.3">
      <c r="A12" s="53" t="s">
        <v>284</v>
      </c>
      <c r="B12" s="53">
        <v>118</v>
      </c>
      <c r="C12" s="53">
        <v>154</v>
      </c>
      <c r="D12" s="53">
        <v>200</v>
      </c>
      <c r="E12" s="53">
        <f>D12*1.25</f>
        <v>250</v>
      </c>
      <c r="F12" s="53">
        <f t="shared" ref="F12:V12" si="1">E12*1.25</f>
        <v>312.5</v>
      </c>
      <c r="G12" s="53">
        <f t="shared" si="1"/>
        <v>390.625</v>
      </c>
      <c r="H12" s="53">
        <f t="shared" si="1"/>
        <v>488.28125</v>
      </c>
      <c r="I12" s="53">
        <f t="shared" si="1"/>
        <v>610.3515625</v>
      </c>
      <c r="J12" s="53">
        <f t="shared" si="1"/>
        <v>762.939453125</v>
      </c>
      <c r="K12" s="53">
        <f t="shared" si="1"/>
        <v>953.67431640625</v>
      </c>
      <c r="L12" s="53">
        <f t="shared" si="1"/>
        <v>1192.0928955078125</v>
      </c>
      <c r="M12" s="53">
        <f t="shared" si="1"/>
        <v>1490.1161193847656</v>
      </c>
      <c r="N12" s="53">
        <f t="shared" si="1"/>
        <v>1862.645149230957</v>
      </c>
      <c r="O12" s="53">
        <f t="shared" si="1"/>
        <v>2328.3064365386963</v>
      </c>
      <c r="P12" s="53">
        <f t="shared" si="1"/>
        <v>2910.3830456733704</v>
      </c>
      <c r="Q12" s="53">
        <f t="shared" si="1"/>
        <v>3637.978807091713</v>
      </c>
      <c r="R12" s="53">
        <f t="shared" si="1"/>
        <v>4547.4735088646412</v>
      </c>
      <c r="S12" s="53">
        <f t="shared" si="1"/>
        <v>5684.3418860808015</v>
      </c>
      <c r="T12" s="53">
        <f t="shared" si="1"/>
        <v>7105.4273576010019</v>
      </c>
      <c r="U12" s="53">
        <f t="shared" si="1"/>
        <v>8881.7841970012523</v>
      </c>
      <c r="V12" s="53">
        <f t="shared" si="1"/>
        <v>11102.230246251565</v>
      </c>
      <c r="W12" s="53"/>
    </row>
    <row r="13" spans="1:45" s="116" customFormat="1" ht="14.5" x14ac:dyDescent="0.35">
      <c r="A13" s="137" t="s">
        <v>231</v>
      </c>
      <c r="B13" s="138">
        <f>SUM(B11:B12)</f>
        <v>325</v>
      </c>
      <c r="C13" s="138">
        <f t="shared" ref="C13:V13" si="2">SUM(C11:C12)</f>
        <v>390</v>
      </c>
      <c r="D13" s="138">
        <f t="shared" si="2"/>
        <v>470</v>
      </c>
      <c r="E13" s="138">
        <f t="shared" si="2"/>
        <v>555.09999999999991</v>
      </c>
      <c r="F13" s="138">
        <f t="shared" si="2"/>
        <v>657.26299999999992</v>
      </c>
      <c r="G13" s="138">
        <f t="shared" si="2"/>
        <v>780.20718999999985</v>
      </c>
      <c r="H13" s="138">
        <f t="shared" si="2"/>
        <v>928.5091246999998</v>
      </c>
      <c r="I13" s="138">
        <f t="shared" si="2"/>
        <v>1107.8090609109997</v>
      </c>
      <c r="J13" s="138">
        <f t="shared" si="2"/>
        <v>1325.0664263294298</v>
      </c>
      <c r="K13" s="138">
        <f t="shared" si="2"/>
        <v>1588.8777961272554</v>
      </c>
      <c r="L13" s="138">
        <f t="shared" si="2"/>
        <v>1909.8728275925487</v>
      </c>
      <c r="M13" s="138">
        <f t="shared" si="2"/>
        <v>2301.2074426405175</v>
      </c>
      <c r="N13" s="138">
        <f t="shared" si="2"/>
        <v>2779.1783445099563</v>
      </c>
      <c r="O13" s="138">
        <f t="shared" si="2"/>
        <v>3363.9889472039654</v>
      </c>
      <c r="P13" s="138">
        <f t="shared" si="2"/>
        <v>4080.7042827251244</v>
      </c>
      <c r="Q13" s="138">
        <f t="shared" si="2"/>
        <v>4960.4418049601945</v>
      </c>
      <c r="R13" s="138">
        <f t="shared" si="2"/>
        <v>6041.856696456025</v>
      </c>
      <c r="S13" s="138">
        <f t="shared" si="2"/>
        <v>7372.9948880590655</v>
      </c>
      <c r="T13" s="138">
        <f t="shared" si="2"/>
        <v>9013.6052498364406</v>
      </c>
      <c r="U13" s="138">
        <f t="shared" si="2"/>
        <v>11038.025215227297</v>
      </c>
      <c r="V13" s="138">
        <f t="shared" si="2"/>
        <v>13538.782596846995</v>
      </c>
      <c r="W13" s="137" t="s">
        <v>43</v>
      </c>
    </row>
    <row r="14" spans="1:45" s="116" customFormat="1" ht="13" x14ac:dyDescent="0.3"/>
    <row r="15" spans="1:45" s="116" customFormat="1" ht="13" x14ac:dyDescent="0.3">
      <c r="A15" s="54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</row>
    <row r="16" spans="1:45" s="54" customFormat="1" x14ac:dyDescent="0.25">
      <c r="A16" s="54" t="s">
        <v>285</v>
      </c>
      <c r="B16" s="53">
        <v>207</v>
      </c>
      <c r="C16" s="53">
        <v>236</v>
      </c>
      <c r="D16" s="53">
        <v>270</v>
      </c>
      <c r="E16" s="53">
        <f>D16*1.14</f>
        <v>307.79999999999995</v>
      </c>
      <c r="F16" s="53">
        <f>E16*1.14</f>
        <v>350.89199999999994</v>
      </c>
      <c r="G16" s="53">
        <f>F16*1.14</f>
        <v>400.0168799999999</v>
      </c>
      <c r="H16" s="53">
        <v>458</v>
      </c>
      <c r="I16" s="53">
        <f>H16*1.14</f>
        <v>522.12</v>
      </c>
      <c r="J16" s="53">
        <f>I16*1.14</f>
        <v>595.21679999999992</v>
      </c>
      <c r="K16" s="53">
        <f>J16*1.14</f>
        <v>678.54715199999987</v>
      </c>
      <c r="L16" s="53">
        <f>K16*1.14</f>
        <v>773.54375327999981</v>
      </c>
      <c r="M16" s="53">
        <f t="shared" ref="M16:V16" si="3">L16*1.14</f>
        <v>881.83987873919966</v>
      </c>
      <c r="N16" s="53">
        <f t="shared" si="3"/>
        <v>1005.2974617626875</v>
      </c>
      <c r="O16" s="53">
        <f t="shared" si="3"/>
        <v>1146.0391064094636</v>
      </c>
      <c r="P16" s="53">
        <f t="shared" si="3"/>
        <v>1306.4845813067884</v>
      </c>
      <c r="Q16" s="53">
        <f t="shared" si="3"/>
        <v>1489.3924226897386</v>
      </c>
      <c r="R16" s="53">
        <f t="shared" si="3"/>
        <v>1697.9073618663019</v>
      </c>
      <c r="S16" s="53">
        <f t="shared" si="3"/>
        <v>1935.614392527584</v>
      </c>
      <c r="T16" s="53">
        <f t="shared" si="3"/>
        <v>2206.6004074814455</v>
      </c>
      <c r="U16" s="53">
        <f t="shared" si="3"/>
        <v>2515.5244645288476</v>
      </c>
      <c r="V16" s="53">
        <f t="shared" si="3"/>
        <v>2867.6978895628858</v>
      </c>
    </row>
    <row r="17" spans="1:46" s="54" customFormat="1" x14ac:dyDescent="0.25">
      <c r="A17" s="54" t="s">
        <v>287</v>
      </c>
      <c r="B17" s="53">
        <v>118</v>
      </c>
      <c r="C17" s="53">
        <v>154</v>
      </c>
      <c r="D17" s="53">
        <v>200</v>
      </c>
      <c r="E17" s="53">
        <f>D17*1.3</f>
        <v>260</v>
      </c>
      <c r="F17" s="53">
        <f>E17*1.3</f>
        <v>338</v>
      </c>
      <c r="G17" s="53">
        <f>F17*1.3</f>
        <v>439.40000000000003</v>
      </c>
      <c r="H17" s="53">
        <v>585</v>
      </c>
      <c r="I17" s="53">
        <f>H17*1.3</f>
        <v>760.5</v>
      </c>
      <c r="J17" s="53">
        <f>I17*1.3</f>
        <v>988.65</v>
      </c>
      <c r="K17" s="53">
        <f>J17*1.3</f>
        <v>1285.2450000000001</v>
      </c>
      <c r="L17" s="53">
        <f>K17*1.3</f>
        <v>1670.8185000000003</v>
      </c>
      <c r="M17" s="53">
        <f t="shared" ref="M17:V17" si="4">L17*1.3</f>
        <v>2172.0640500000004</v>
      </c>
      <c r="N17" s="53">
        <f t="shared" si="4"/>
        <v>2823.6832650000006</v>
      </c>
      <c r="O17" s="53">
        <f t="shared" si="4"/>
        <v>3670.7882445000009</v>
      </c>
      <c r="P17" s="53">
        <f t="shared" si="4"/>
        <v>4772.0247178500013</v>
      </c>
      <c r="Q17" s="53">
        <f t="shared" si="4"/>
        <v>6203.632133205002</v>
      </c>
      <c r="R17" s="53">
        <f t="shared" si="4"/>
        <v>8064.7217731665032</v>
      </c>
      <c r="S17" s="53">
        <f t="shared" si="4"/>
        <v>10484.138305116454</v>
      </c>
      <c r="T17" s="53">
        <f t="shared" si="4"/>
        <v>13629.37979665139</v>
      </c>
      <c r="U17" s="53">
        <f t="shared" si="4"/>
        <v>17718.193735646808</v>
      </c>
      <c r="V17" s="53">
        <f t="shared" si="4"/>
        <v>23033.65185634085</v>
      </c>
    </row>
    <row r="18" spans="1:46" s="248" customFormat="1" ht="14.5" x14ac:dyDescent="0.35">
      <c r="A18" s="142" t="s">
        <v>232</v>
      </c>
      <c r="B18" s="142">
        <f t="shared" ref="B18:V18" si="5">SUM(B16:B17)</f>
        <v>325</v>
      </c>
      <c r="C18" s="142">
        <f t="shared" si="5"/>
        <v>390</v>
      </c>
      <c r="D18" s="142">
        <f t="shared" si="5"/>
        <v>470</v>
      </c>
      <c r="E18" s="142">
        <f t="shared" si="5"/>
        <v>567.79999999999995</v>
      </c>
      <c r="F18" s="142">
        <f t="shared" si="5"/>
        <v>688.89199999999994</v>
      </c>
      <c r="G18" s="142">
        <f t="shared" si="5"/>
        <v>839.41687999999999</v>
      </c>
      <c r="H18" s="142">
        <f t="shared" si="5"/>
        <v>1043</v>
      </c>
      <c r="I18" s="142">
        <f t="shared" si="5"/>
        <v>1282.6199999999999</v>
      </c>
      <c r="J18" s="142">
        <f t="shared" si="5"/>
        <v>1583.8667999999998</v>
      </c>
      <c r="K18" s="142">
        <f t="shared" si="5"/>
        <v>1963.792152</v>
      </c>
      <c r="L18" s="142">
        <f t="shared" si="5"/>
        <v>2444.36225328</v>
      </c>
      <c r="M18" s="142">
        <f t="shared" si="5"/>
        <v>3053.9039287392002</v>
      </c>
      <c r="N18" s="142">
        <f t="shared" si="5"/>
        <v>3828.9807267626879</v>
      </c>
      <c r="O18" s="142">
        <f t="shared" si="5"/>
        <v>4816.8273509094643</v>
      </c>
      <c r="P18" s="142">
        <f t="shared" si="5"/>
        <v>6078.5092991567899</v>
      </c>
      <c r="Q18" s="142">
        <f t="shared" si="5"/>
        <v>7693.0245558947408</v>
      </c>
      <c r="R18" s="142">
        <f t="shared" si="5"/>
        <v>9762.6291350328047</v>
      </c>
      <c r="S18" s="142">
        <f t="shared" si="5"/>
        <v>12419.752697644039</v>
      </c>
      <c r="T18" s="142">
        <f t="shared" si="5"/>
        <v>15835.980204132837</v>
      </c>
      <c r="U18" s="142">
        <f t="shared" si="5"/>
        <v>20233.718200175656</v>
      </c>
      <c r="V18" s="142">
        <f t="shared" si="5"/>
        <v>25901.349745903735</v>
      </c>
      <c r="W18" s="142" t="s">
        <v>43</v>
      </c>
    </row>
    <row r="19" spans="1:46" s="53" customFormat="1" x14ac:dyDescent="0.25"/>
    <row r="20" spans="1:46" s="53" customFormat="1" x14ac:dyDescent="0.25"/>
    <row r="21" spans="1:46" s="53" customFormat="1" x14ac:dyDescent="0.25">
      <c r="A21" s="53" t="s">
        <v>286</v>
      </c>
      <c r="B21" s="53">
        <v>207</v>
      </c>
      <c r="C21" s="53">
        <v>236</v>
      </c>
      <c r="D21" s="53">
        <v>270</v>
      </c>
      <c r="E21" s="53">
        <f>D21*1.15</f>
        <v>310.5</v>
      </c>
      <c r="F21" s="53">
        <f t="shared" ref="F21:V21" si="6">E21*1.15</f>
        <v>357.07499999999999</v>
      </c>
      <c r="G21" s="53">
        <f t="shared" si="6"/>
        <v>410.63624999999996</v>
      </c>
      <c r="H21" s="53">
        <f t="shared" si="6"/>
        <v>472.23168749999991</v>
      </c>
      <c r="I21" s="53">
        <f t="shared" si="6"/>
        <v>543.06644062499981</v>
      </c>
      <c r="J21" s="53">
        <f t="shared" si="6"/>
        <v>624.52640671874974</v>
      </c>
      <c r="K21" s="53">
        <f t="shared" si="6"/>
        <v>718.20536772656214</v>
      </c>
      <c r="L21" s="53">
        <f t="shared" si="6"/>
        <v>825.9361728855464</v>
      </c>
      <c r="M21" s="53">
        <f t="shared" si="6"/>
        <v>949.82659881837833</v>
      </c>
      <c r="N21" s="53">
        <f t="shared" si="6"/>
        <v>1092.3005886411349</v>
      </c>
      <c r="O21" s="53">
        <f t="shared" si="6"/>
        <v>1256.1456769373051</v>
      </c>
      <c r="P21" s="53">
        <f t="shared" si="6"/>
        <v>1444.5675284779009</v>
      </c>
      <c r="Q21" s="53">
        <f t="shared" si="6"/>
        <v>1661.2526577495858</v>
      </c>
      <c r="R21" s="53">
        <f t="shared" si="6"/>
        <v>1910.4405564120234</v>
      </c>
      <c r="S21" s="53">
        <f t="shared" si="6"/>
        <v>2197.0066398738268</v>
      </c>
      <c r="T21" s="53">
        <f t="shared" si="6"/>
        <v>2526.5576358549006</v>
      </c>
      <c r="U21" s="53">
        <f t="shared" si="6"/>
        <v>2905.5412812331356</v>
      </c>
      <c r="V21" s="53">
        <f t="shared" si="6"/>
        <v>3341.3724734181055</v>
      </c>
    </row>
    <row r="22" spans="1:46" s="53" customFormat="1" x14ac:dyDescent="0.25">
      <c r="A22" s="53" t="s">
        <v>288</v>
      </c>
      <c r="B22" s="53">
        <v>118</v>
      </c>
      <c r="C22" s="53">
        <v>154</v>
      </c>
      <c r="D22" s="53">
        <v>200</v>
      </c>
      <c r="E22" s="53">
        <f>D22*1.35</f>
        <v>270</v>
      </c>
      <c r="F22" s="53">
        <f t="shared" ref="F22:V22" si="7">E22*1.35</f>
        <v>364.5</v>
      </c>
      <c r="G22" s="53">
        <f t="shared" si="7"/>
        <v>492.07500000000005</v>
      </c>
      <c r="H22" s="53">
        <f t="shared" si="7"/>
        <v>664.3012500000001</v>
      </c>
      <c r="I22" s="53">
        <f t="shared" si="7"/>
        <v>896.80668750000018</v>
      </c>
      <c r="J22" s="53">
        <f t="shared" si="7"/>
        <v>1210.6890281250003</v>
      </c>
      <c r="K22" s="53">
        <f t="shared" si="7"/>
        <v>1634.4301879687505</v>
      </c>
      <c r="L22" s="53">
        <f t="shared" si="7"/>
        <v>2206.4807537578131</v>
      </c>
      <c r="M22" s="53">
        <f t="shared" si="7"/>
        <v>2978.7490175730477</v>
      </c>
      <c r="N22" s="53">
        <f t="shared" si="7"/>
        <v>4021.3111737236145</v>
      </c>
      <c r="O22" s="53">
        <f t="shared" si="7"/>
        <v>5428.7700845268801</v>
      </c>
      <c r="P22" s="53">
        <f t="shared" si="7"/>
        <v>7328.8396141112889</v>
      </c>
      <c r="Q22" s="53">
        <f t="shared" si="7"/>
        <v>9893.9334790502398</v>
      </c>
      <c r="R22" s="53">
        <f t="shared" si="7"/>
        <v>13356.810196717825</v>
      </c>
      <c r="S22" s="53">
        <f t="shared" si="7"/>
        <v>18031.693765569064</v>
      </c>
      <c r="T22" s="53">
        <f t="shared" si="7"/>
        <v>24342.786583518238</v>
      </c>
      <c r="U22" s="53">
        <f t="shared" si="7"/>
        <v>32862.761887749621</v>
      </c>
      <c r="V22" s="53">
        <f t="shared" si="7"/>
        <v>44364.728548461993</v>
      </c>
    </row>
    <row r="23" spans="1:46" s="243" customFormat="1" ht="14.5" x14ac:dyDescent="0.35">
      <c r="A23" s="139" t="s">
        <v>233</v>
      </c>
      <c r="B23" s="139">
        <f t="shared" ref="B23:V23" si="8">SUM(B21:B22)</f>
        <v>325</v>
      </c>
      <c r="C23" s="139">
        <f t="shared" si="8"/>
        <v>390</v>
      </c>
      <c r="D23" s="139">
        <f t="shared" si="8"/>
        <v>470</v>
      </c>
      <c r="E23" s="139">
        <f t="shared" si="8"/>
        <v>580.5</v>
      </c>
      <c r="F23" s="139">
        <f t="shared" si="8"/>
        <v>721.57500000000005</v>
      </c>
      <c r="G23" s="139">
        <f t="shared" si="8"/>
        <v>902.71125000000006</v>
      </c>
      <c r="H23" s="139">
        <f t="shared" si="8"/>
        <v>1136.5329375000001</v>
      </c>
      <c r="I23" s="139">
        <f t="shared" si="8"/>
        <v>1439.873128125</v>
      </c>
      <c r="J23" s="139">
        <f t="shared" si="8"/>
        <v>1835.21543484375</v>
      </c>
      <c r="K23" s="139">
        <f t="shared" si="8"/>
        <v>2352.6355556953126</v>
      </c>
      <c r="L23" s="139">
        <f t="shared" si="8"/>
        <v>3032.4169266433596</v>
      </c>
      <c r="M23" s="139">
        <f t="shared" si="8"/>
        <v>3928.5756163914261</v>
      </c>
      <c r="N23" s="139">
        <f t="shared" si="8"/>
        <v>5113.6117623647497</v>
      </c>
      <c r="O23" s="139">
        <f t="shared" si="8"/>
        <v>6684.9157614641854</v>
      </c>
      <c r="P23" s="139">
        <f t="shared" si="8"/>
        <v>8773.4071425891889</v>
      </c>
      <c r="Q23" s="139">
        <f t="shared" si="8"/>
        <v>11555.186136799826</v>
      </c>
      <c r="R23" s="139">
        <f t="shared" si="8"/>
        <v>15267.250753129847</v>
      </c>
      <c r="S23" s="139">
        <f t="shared" si="8"/>
        <v>20228.700405442891</v>
      </c>
      <c r="T23" s="139">
        <f t="shared" si="8"/>
        <v>26869.344219373139</v>
      </c>
      <c r="U23" s="139">
        <f t="shared" si="8"/>
        <v>35768.303168982755</v>
      </c>
      <c r="V23" s="139">
        <f t="shared" si="8"/>
        <v>47706.101021880102</v>
      </c>
      <c r="W23" s="139" t="s">
        <v>43</v>
      </c>
    </row>
    <row r="24" spans="1:46" s="53" customFormat="1" x14ac:dyDescent="0.25"/>
    <row r="25" spans="1:46" ht="13" x14ac:dyDescent="0.3">
      <c r="B25" s="46">
        <v>2010</v>
      </c>
      <c r="C25" s="46">
        <v>2011</v>
      </c>
      <c r="D25" s="46">
        <v>2012</v>
      </c>
      <c r="E25" s="46">
        <v>2013</v>
      </c>
      <c r="F25" s="46">
        <v>2014</v>
      </c>
      <c r="G25" s="46">
        <v>2015</v>
      </c>
      <c r="H25" s="46">
        <v>2016</v>
      </c>
      <c r="I25" s="46">
        <v>2017</v>
      </c>
      <c r="J25" s="46">
        <v>2018</v>
      </c>
      <c r="K25" s="46">
        <v>2019</v>
      </c>
      <c r="L25" s="46">
        <v>2020</v>
      </c>
      <c r="M25" s="46">
        <v>2021</v>
      </c>
      <c r="N25" s="46">
        <v>2022</v>
      </c>
      <c r="O25" s="46">
        <v>2023</v>
      </c>
      <c r="P25" s="46">
        <v>2024</v>
      </c>
      <c r="Q25" s="46">
        <v>2025</v>
      </c>
      <c r="R25" s="46">
        <v>2026</v>
      </c>
      <c r="S25" s="46">
        <v>2027</v>
      </c>
      <c r="T25" s="46">
        <v>2028</v>
      </c>
      <c r="U25" s="46">
        <v>2029</v>
      </c>
      <c r="V25" s="46">
        <v>2030</v>
      </c>
    </row>
    <row r="26" spans="1:46" ht="14.5" x14ac:dyDescent="0.35">
      <c r="A26" s="137" t="s">
        <v>234</v>
      </c>
      <c r="B26" s="138">
        <f>B5+B9+B13</f>
        <v>347.58823529411762</v>
      </c>
      <c r="C26" s="138">
        <f t="shared" ref="C26:U26" si="9">C5+C9+C13</f>
        <v>415.22823529411767</v>
      </c>
      <c r="D26" s="138">
        <f t="shared" si="9"/>
        <v>499.54823529411766</v>
      </c>
      <c r="E26" s="138">
        <f t="shared" si="9"/>
        <v>593.0482352941176</v>
      </c>
      <c r="F26" s="138">
        <f t="shared" si="9"/>
        <v>709.61123529411759</v>
      </c>
      <c r="G26" s="138">
        <f t="shared" si="9"/>
        <v>855.35542529411748</v>
      </c>
      <c r="H26" s="138">
        <f t="shared" si="9"/>
        <v>1036.0573599941174</v>
      </c>
      <c r="I26" s="138">
        <f t="shared" si="9"/>
        <v>1260.9572962051175</v>
      </c>
      <c r="J26" s="138">
        <f t="shared" si="9"/>
        <v>1556.1666616235475</v>
      </c>
      <c r="K26" s="138">
        <f t="shared" si="9"/>
        <v>1943.1421914213731</v>
      </c>
      <c r="L26" s="138">
        <f t="shared" si="9"/>
        <v>2458.7365956866665</v>
      </c>
      <c r="M26" s="138">
        <f t="shared" si="9"/>
        <v>3077.9039132287526</v>
      </c>
      <c r="N26" s="138">
        <f t="shared" si="9"/>
        <v>3857.0286378830015</v>
      </c>
      <c r="O26" s="138">
        <f t="shared" si="9"/>
        <v>4860.6414632977285</v>
      </c>
      <c r="P26" s="138">
        <f t="shared" si="9"/>
        <v>6161.1872645207886</v>
      </c>
      <c r="Q26" s="138">
        <f t="shared" si="9"/>
        <v>7856.0787649727336</v>
      </c>
      <c r="R26" s="138">
        <f t="shared" si="9"/>
        <v>10254.683414584782</v>
      </c>
      <c r="S26" s="138">
        <f t="shared" si="9"/>
        <v>13336.710025946497</v>
      </c>
      <c r="T26" s="138">
        <f t="shared" si="9"/>
        <v>17346.002062572312</v>
      </c>
      <c r="U26" s="138">
        <f t="shared" si="9"/>
        <v>22613.420070257842</v>
      </c>
      <c r="V26" s="138">
        <f>V5+V9+V13</f>
        <v>29589.552670906272</v>
      </c>
    </row>
    <row r="27" spans="1:46" ht="14.5" x14ac:dyDescent="0.35">
      <c r="A27" s="141" t="s">
        <v>241</v>
      </c>
      <c r="B27" s="142">
        <f>B6+B9+B18</f>
        <v>347.58823529411762</v>
      </c>
      <c r="C27" s="142">
        <f t="shared" ref="C27:U27" si="10">C6+C9+C18</f>
        <v>415.22823529411767</v>
      </c>
      <c r="D27" s="142">
        <f t="shared" si="10"/>
        <v>499.54823529411766</v>
      </c>
      <c r="E27" s="142">
        <f t="shared" si="10"/>
        <v>605.74823529411765</v>
      </c>
      <c r="F27" s="142">
        <f t="shared" si="10"/>
        <v>741.24023529411761</v>
      </c>
      <c r="G27" s="142">
        <f t="shared" si="10"/>
        <v>914.56511529411762</v>
      </c>
      <c r="H27" s="142">
        <f t="shared" si="10"/>
        <v>1150.5482352941176</v>
      </c>
      <c r="I27" s="142">
        <f t="shared" si="10"/>
        <v>1435.7682352941174</v>
      </c>
      <c r="J27" s="142">
        <f t="shared" si="10"/>
        <v>1814.9670352941175</v>
      </c>
      <c r="K27" s="142">
        <f t="shared" si="10"/>
        <v>2318.0565472941175</v>
      </c>
      <c r="L27" s="142">
        <f t="shared" si="10"/>
        <v>2993.2260213741179</v>
      </c>
      <c r="M27" s="142">
        <f t="shared" si="10"/>
        <v>3883.4003993274355</v>
      </c>
      <c r="N27" s="142">
        <f t="shared" si="10"/>
        <v>5057.0837796294045</v>
      </c>
      <c r="O27" s="142">
        <f t="shared" si="10"/>
        <v>6641.4050072051177</v>
      </c>
      <c r="P27" s="142">
        <f t="shared" si="10"/>
        <v>8796.4362625052327</v>
      </c>
      <c r="Q27" s="142">
        <f t="shared" si="10"/>
        <v>11749.681874040136</v>
      </c>
      <c r="R27" s="142">
        <f t="shared" si="10"/>
        <v>15937.81084064366</v>
      </c>
      <c r="S27" s="142">
        <f t="shared" si="10"/>
        <v>21710.073062241092</v>
      </c>
      <c r="T27" s="142">
        <f t="shared" si="10"/>
        <v>29739.532681691468</v>
      </c>
      <c r="U27" s="142">
        <f t="shared" si="10"/>
        <v>41000.654408394017</v>
      </c>
      <c r="V27" s="142">
        <f>V6+V9+V18</f>
        <v>56909.756070254749</v>
      </c>
      <c r="Z27" s="42">
        <v>1024</v>
      </c>
    </row>
    <row r="28" spans="1:46" ht="14.5" x14ac:dyDescent="0.35">
      <c r="A28" s="140" t="s">
        <v>240</v>
      </c>
      <c r="B28" s="139">
        <f>B7+B9+B23</f>
        <v>347.58823529411762</v>
      </c>
      <c r="C28" s="139">
        <f t="shared" ref="C28:U28" si="11">C7+C9+C23</f>
        <v>415.22823529411767</v>
      </c>
      <c r="D28" s="139">
        <f t="shared" si="11"/>
        <v>499.54823529411766</v>
      </c>
      <c r="E28" s="139">
        <f t="shared" si="11"/>
        <v>618.44823529411769</v>
      </c>
      <c r="F28" s="139">
        <f t="shared" si="11"/>
        <v>773.92323529411772</v>
      </c>
      <c r="G28" s="139">
        <f t="shared" si="11"/>
        <v>977.85948529411769</v>
      </c>
      <c r="H28" s="139">
        <f t="shared" si="11"/>
        <v>1244.0811727941177</v>
      </c>
      <c r="I28" s="139">
        <f t="shared" si="11"/>
        <v>1593.0213634191177</v>
      </c>
      <c r="J28" s="139">
        <f t="shared" si="11"/>
        <v>2066.3156701378675</v>
      </c>
      <c r="K28" s="139">
        <f t="shared" si="11"/>
        <v>2706.8999509894302</v>
      </c>
      <c r="L28" s="139">
        <f t="shared" si="11"/>
        <v>3581.2806947374775</v>
      </c>
      <c r="M28" s="139">
        <f t="shared" si="11"/>
        <v>4798.2000869796611</v>
      </c>
      <c r="N28" s="139">
        <f t="shared" si="11"/>
        <v>6489.4211443453905</v>
      </c>
      <c r="O28" s="139">
        <f t="shared" si="11"/>
        <v>8871.0292562472623</v>
      </c>
      <c r="P28" s="139">
        <f t="shared" si="11"/>
        <v>12256.420640210175</v>
      </c>
      <c r="Q28" s="139">
        <f t="shared" si="11"/>
        <v>17113.658294509834</v>
      </c>
      <c r="R28" s="139">
        <f t="shared" si="11"/>
        <v>24108.335599132537</v>
      </c>
      <c r="S28" s="139">
        <f t="shared" si="11"/>
        <v>34345.034034972348</v>
      </c>
      <c r="T28" s="139">
        <f t="shared" si="11"/>
        <v>49449.436390908435</v>
      </c>
      <c r="U28" s="139">
        <f t="shared" si="11"/>
        <v>71914.065198474753</v>
      </c>
      <c r="V28" s="139">
        <f>V7+V9+V23</f>
        <v>105580.89046030267</v>
      </c>
    </row>
    <row r="29" spans="1:46" s="60" customFormat="1" ht="14.5" x14ac:dyDescent="0.35">
      <c r="A29" s="59"/>
      <c r="B29" s="45">
        <f>Y30*$Z$27-B26</f>
        <v>1055.2917647058825</v>
      </c>
      <c r="C29" s="45">
        <f>Z30*$Z$27-C26</f>
        <v>1427.9717647058824</v>
      </c>
      <c r="D29" s="45">
        <f>AA30*$Z$27-D26</f>
        <v>2162.8517647058825</v>
      </c>
      <c r="E29" s="45">
        <f>AB30*$Z$27-E26</f>
        <v>2581.3517647058825</v>
      </c>
      <c r="F29" s="45">
        <f>AC29*$Z$27-F26</f>
        <v>3194.9007647058825</v>
      </c>
      <c r="G29" s="45">
        <f t="shared" ref="G29:V29" si="12">AD29*$Z$27-G26</f>
        <v>3947.1943347058823</v>
      </c>
      <c r="H29" s="45">
        <f t="shared" si="12"/>
        <v>4871.0788448058829</v>
      </c>
      <c r="I29" s="45">
        <f t="shared" si="12"/>
        <v>6004.8202356988822</v>
      </c>
      <c r="J29" s="45">
        <f t="shared" si="12"/>
        <v>7380.7397026183735</v>
      </c>
      <c r="K29" s="45">
        <f t="shared" si="12"/>
        <v>9049.2526365961894</v>
      </c>
      <c r="L29" s="45">
        <f t="shared" si="12"/>
        <v>11061.909042774934</v>
      </c>
      <c r="M29" s="45">
        <f t="shared" si="12"/>
        <v>13552.490222079015</v>
      </c>
      <c r="N29" s="45">
        <f t="shared" si="12"/>
        <v>16598.35614854555</v>
      </c>
      <c r="O29" s="45">
        <f t="shared" si="12"/>
        <v>20299.481824009392</v>
      </c>
      <c r="P29" s="45">
        <f t="shared" si="12"/>
        <v>24785.76437886697</v>
      </c>
      <c r="Q29" s="45">
        <f t="shared" si="12"/>
        <v>30208.671756394207</v>
      </c>
      <c r="R29" s="45">
        <f t="shared" si="12"/>
        <v>36564.959726696557</v>
      </c>
      <c r="S29" s="45">
        <f t="shared" si="12"/>
        <v>44251.451037829553</v>
      </c>
      <c r="T29" s="45">
        <f t="shared" si="12"/>
        <v>53487.436045872222</v>
      </c>
      <c r="U29" s="45">
        <f t="shared" si="12"/>
        <v>64511.708803128931</v>
      </c>
      <c r="V29" s="45">
        <f t="shared" si="12"/>
        <v>77574.355843359459</v>
      </c>
      <c r="AC29" s="327">
        <f>AB30*1.23</f>
        <v>3.8130000000000002</v>
      </c>
      <c r="AD29" s="327">
        <f>AC29*1.23</f>
        <v>4.6899899999999999</v>
      </c>
      <c r="AE29" s="327">
        <f t="shared" ref="AE29:AS29" si="13">AD29*1.23</f>
        <v>5.7686877000000001</v>
      </c>
      <c r="AF29" s="327">
        <f t="shared" si="13"/>
        <v>7.0954858710000002</v>
      </c>
      <c r="AG29" s="327">
        <f t="shared" si="13"/>
        <v>8.7274476213300005</v>
      </c>
      <c r="AH29" s="327">
        <f t="shared" si="13"/>
        <v>10.734760574235901</v>
      </c>
      <c r="AI29" s="327">
        <f t="shared" si="13"/>
        <v>13.203755506310157</v>
      </c>
      <c r="AJ29" s="327">
        <f t="shared" si="13"/>
        <v>16.240619272761492</v>
      </c>
      <c r="AK29" s="327">
        <f t="shared" si="13"/>
        <v>19.975961705496633</v>
      </c>
      <c r="AL29" s="327">
        <f t="shared" si="13"/>
        <v>24.57043289776086</v>
      </c>
      <c r="AM29" s="327">
        <f t="shared" si="13"/>
        <v>30.221632464245857</v>
      </c>
      <c r="AN29" s="327">
        <f t="shared" si="13"/>
        <v>37.172607931022405</v>
      </c>
      <c r="AO29" s="327">
        <f t="shared" si="13"/>
        <v>45.722307755157559</v>
      </c>
      <c r="AP29" s="327">
        <f t="shared" si="13"/>
        <v>56.238438538843795</v>
      </c>
      <c r="AQ29" s="327">
        <f t="shared" si="13"/>
        <v>69.173279402777865</v>
      </c>
      <c r="AR29" s="327">
        <f t="shared" si="13"/>
        <v>85.083133665416767</v>
      </c>
      <c r="AS29" s="327">
        <f t="shared" si="13"/>
        <v>104.65225440846262</v>
      </c>
    </row>
    <row r="30" spans="1:46" ht="13" x14ac:dyDescent="0.3">
      <c r="A30" s="42" t="s">
        <v>242</v>
      </c>
      <c r="B30" s="45">
        <f>Y30*$Z$27-B27</f>
        <v>1055.2917647058825</v>
      </c>
      <c r="C30" s="45">
        <f t="shared" ref="C30:U30" si="14">Z30*$Z$27-C27</f>
        <v>1427.9717647058824</v>
      </c>
      <c r="D30" s="45">
        <f t="shared" si="14"/>
        <v>2162.8517647058825</v>
      </c>
      <c r="E30" s="45">
        <f t="shared" si="14"/>
        <v>2568.6517647058827</v>
      </c>
      <c r="F30" s="109">
        <f t="shared" si="14"/>
        <v>3385.4797647058826</v>
      </c>
      <c r="G30" s="109">
        <f t="shared" si="14"/>
        <v>4450.1708847058835</v>
      </c>
      <c r="H30" s="109">
        <f>AE30*$Z$27-H27</f>
        <v>5823.6085647058844</v>
      </c>
      <c r="I30" s="109">
        <f t="shared" si="14"/>
        <v>7630.6356047058853</v>
      </c>
      <c r="J30" s="109">
        <f t="shared" si="14"/>
        <v>9971.357956705886</v>
      </c>
      <c r="K30" s="109">
        <f t="shared" si="14"/>
        <v>13004.165942305886</v>
      </c>
      <c r="L30" s="109">
        <f t="shared" si="14"/>
        <v>16925.663215105888</v>
      </c>
      <c r="M30" s="109">
        <f t="shared" si="14"/>
        <v>22011.155608096571</v>
      </c>
      <c r="N30" s="109">
        <f t="shared" si="14"/>
        <v>28605.839030021805</v>
      </c>
      <c r="O30" s="109">
        <f t="shared" si="14"/>
        <v>37120.394645341454</v>
      </c>
      <c r="P30" s="109">
        <f t="shared" si="14"/>
        <v>48093.903285805311</v>
      </c>
      <c r="Q30" s="109">
        <f t="shared" si="14"/>
        <v>62207.759538763567</v>
      </c>
      <c r="R30" s="109">
        <f t="shared" si="14"/>
        <v>80206.862996001146</v>
      </c>
      <c r="S30" s="109">
        <f t="shared" si="14"/>
        <v>103278.00292539717</v>
      </c>
      <c r="T30" s="109">
        <f t="shared" si="14"/>
        <v>132744.96610223828</v>
      </c>
      <c r="U30" s="109">
        <f t="shared" si="14"/>
        <v>170229.19401071465</v>
      </c>
      <c r="V30" s="109">
        <f>AS30*$Z$27-V27</f>
        <v>217689.04687458652</v>
      </c>
      <c r="X30" s="42" t="s">
        <v>160</v>
      </c>
      <c r="Y30" s="43">
        <v>1.37</v>
      </c>
      <c r="Z30" s="43">
        <v>1.8</v>
      </c>
      <c r="AA30" s="43">
        <v>2.6</v>
      </c>
      <c r="AB30" s="43">
        <v>3.1</v>
      </c>
      <c r="AC30" s="316">
        <f>AB30*1.3</f>
        <v>4.03</v>
      </c>
      <c r="AD30" s="316">
        <f t="shared" ref="AD30:AS30" si="15">AC30*1.3</f>
        <v>5.2390000000000008</v>
      </c>
      <c r="AE30" s="316">
        <f t="shared" si="15"/>
        <v>6.8107000000000015</v>
      </c>
      <c r="AF30" s="316">
        <f t="shared" si="15"/>
        <v>8.8539100000000026</v>
      </c>
      <c r="AG30" s="316">
        <f t="shared" si="15"/>
        <v>11.510083000000003</v>
      </c>
      <c r="AH30" s="316">
        <f t="shared" si="15"/>
        <v>14.963107900000004</v>
      </c>
      <c r="AI30" s="316">
        <f t="shared" si="15"/>
        <v>19.452040270000005</v>
      </c>
      <c r="AJ30" s="316">
        <f t="shared" si="15"/>
        <v>25.287652351000006</v>
      </c>
      <c r="AK30" s="316">
        <f t="shared" si="15"/>
        <v>32.873948056300009</v>
      </c>
      <c r="AL30" s="316">
        <f t="shared" si="15"/>
        <v>42.736132473190011</v>
      </c>
      <c r="AM30" s="316">
        <f t="shared" si="15"/>
        <v>55.556972215147013</v>
      </c>
      <c r="AN30" s="316">
        <f t="shared" si="15"/>
        <v>72.224063879691116</v>
      </c>
      <c r="AO30" s="316">
        <f t="shared" si="15"/>
        <v>93.891283043598449</v>
      </c>
      <c r="AP30" s="316">
        <f t="shared" si="15"/>
        <v>122.05866795667799</v>
      </c>
      <c r="AQ30" s="316">
        <f t="shared" si="15"/>
        <v>158.67626834368139</v>
      </c>
      <c r="AR30" s="316">
        <f t="shared" si="15"/>
        <v>206.2791488467858</v>
      </c>
      <c r="AS30" s="316">
        <f t="shared" si="15"/>
        <v>268.16289350082155</v>
      </c>
      <c r="AT30" s="43"/>
    </row>
    <row r="32" spans="1:46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Y32" s="42" t="s">
        <v>297</v>
      </c>
    </row>
    <row r="33" spans="1:51" ht="14.5" x14ac:dyDescent="0.35">
      <c r="A33" s="137" t="s">
        <v>235</v>
      </c>
      <c r="B33" s="138">
        <f>B26+B29</f>
        <v>1402.88</v>
      </c>
      <c r="C33" s="138">
        <f t="shared" ref="C33:U33" si="16">C26+C29</f>
        <v>1843.2</v>
      </c>
      <c r="D33" s="138">
        <f t="shared" si="16"/>
        <v>2662.4</v>
      </c>
      <c r="E33" s="138">
        <f t="shared" si="16"/>
        <v>3174.4</v>
      </c>
      <c r="F33" s="138">
        <f t="shared" si="16"/>
        <v>3904.5120000000002</v>
      </c>
      <c r="G33" s="138">
        <f t="shared" si="16"/>
        <v>4802.5497599999999</v>
      </c>
      <c r="H33" s="138">
        <f t="shared" si="16"/>
        <v>5907.1362048000001</v>
      </c>
      <c r="I33" s="138">
        <f t="shared" si="16"/>
        <v>7265.7775319039993</v>
      </c>
      <c r="J33" s="138">
        <f t="shared" si="16"/>
        <v>8936.9063642419205</v>
      </c>
      <c r="K33" s="138">
        <f t="shared" si="16"/>
        <v>10992.394828017563</v>
      </c>
      <c r="L33" s="138">
        <f t="shared" si="16"/>
        <v>13520.645638461601</v>
      </c>
      <c r="M33" s="138">
        <f t="shared" si="16"/>
        <v>16630.394135307768</v>
      </c>
      <c r="N33" s="138">
        <f t="shared" si="16"/>
        <v>20455.384786428553</v>
      </c>
      <c r="O33" s="138">
        <f t="shared" si="16"/>
        <v>25160.12328730712</v>
      </c>
      <c r="P33" s="138">
        <f t="shared" si="16"/>
        <v>30946.951643387758</v>
      </c>
      <c r="Q33" s="138">
        <f t="shared" si="16"/>
        <v>38064.750521366943</v>
      </c>
      <c r="R33" s="138">
        <f t="shared" si="16"/>
        <v>46819.64314128134</v>
      </c>
      <c r="S33" s="138">
        <f t="shared" si="16"/>
        <v>57588.161063776046</v>
      </c>
      <c r="T33" s="138">
        <f t="shared" si="16"/>
        <v>70833.438108444534</v>
      </c>
      <c r="U33" s="138">
        <f t="shared" si="16"/>
        <v>87125.12887338677</v>
      </c>
      <c r="V33" s="138">
        <f>V26+V29</f>
        <v>107163.90851426573</v>
      </c>
      <c r="Y33" s="42">
        <v>2010</v>
      </c>
      <c r="Z33" s="42">
        <v>2011</v>
      </c>
      <c r="AA33" s="42">
        <v>2012</v>
      </c>
      <c r="AB33" s="42">
        <v>2013</v>
      </c>
      <c r="AC33" s="42">
        <v>2014</v>
      </c>
      <c r="AD33" s="42">
        <v>2015</v>
      </c>
      <c r="AE33" s="42">
        <v>2016</v>
      </c>
      <c r="AF33" s="42">
        <v>2017</v>
      </c>
      <c r="AG33" s="42">
        <v>2018</v>
      </c>
      <c r="AH33" s="42">
        <v>2019</v>
      </c>
      <c r="AI33" s="42">
        <v>2020</v>
      </c>
      <c r="AJ33" s="42">
        <v>2021</v>
      </c>
      <c r="AK33" s="42">
        <v>2022</v>
      </c>
      <c r="AL33" s="42">
        <v>2023</v>
      </c>
      <c r="AM33" s="42">
        <v>2024</v>
      </c>
      <c r="AN33" s="42">
        <v>2025</v>
      </c>
      <c r="AO33" s="42">
        <v>2026</v>
      </c>
      <c r="AP33" s="42">
        <v>2027</v>
      </c>
      <c r="AQ33" s="42">
        <v>2028</v>
      </c>
      <c r="AR33" s="42">
        <v>2029</v>
      </c>
      <c r="AS33" s="42">
        <v>2030</v>
      </c>
    </row>
    <row r="34" spans="1:51" s="46" customFormat="1" ht="14.5" x14ac:dyDescent="0.35">
      <c r="A34" s="141" t="s">
        <v>236</v>
      </c>
      <c r="B34" s="142">
        <f t="shared" ref="B34:V34" si="17">B27+B30</f>
        <v>1402.88</v>
      </c>
      <c r="C34" s="142">
        <f t="shared" si="17"/>
        <v>1843.2</v>
      </c>
      <c r="D34" s="142">
        <f t="shared" si="17"/>
        <v>2662.4</v>
      </c>
      <c r="E34" s="142">
        <f t="shared" si="17"/>
        <v>3174.4000000000005</v>
      </c>
      <c r="F34" s="328">
        <f t="shared" si="17"/>
        <v>4126.72</v>
      </c>
      <c r="G34" s="328">
        <f t="shared" si="17"/>
        <v>5364.7360000000008</v>
      </c>
      <c r="H34" s="328">
        <f t="shared" si="17"/>
        <v>6974.1568000000025</v>
      </c>
      <c r="I34" s="328">
        <f t="shared" si="17"/>
        <v>9066.4038400000027</v>
      </c>
      <c r="J34" s="328">
        <f t="shared" si="17"/>
        <v>11786.324992000003</v>
      </c>
      <c r="K34" s="328">
        <f t="shared" si="17"/>
        <v>15322.222489600004</v>
      </c>
      <c r="L34" s="328">
        <f t="shared" si="17"/>
        <v>19918.889236480005</v>
      </c>
      <c r="M34" s="328">
        <f t="shared" si="17"/>
        <v>25894.556007424006</v>
      </c>
      <c r="N34" s="328">
        <f t="shared" si="17"/>
        <v>33662.922809651209</v>
      </c>
      <c r="O34" s="328">
        <f t="shared" si="17"/>
        <v>43761.799652546571</v>
      </c>
      <c r="P34" s="328">
        <f t="shared" si="17"/>
        <v>56890.339548310541</v>
      </c>
      <c r="Q34" s="328">
        <f t="shared" si="17"/>
        <v>73957.441412803702</v>
      </c>
      <c r="R34" s="328">
        <f t="shared" si="17"/>
        <v>96144.673836644812</v>
      </c>
      <c r="S34" s="328">
        <f t="shared" si="17"/>
        <v>124988.07598763827</v>
      </c>
      <c r="T34" s="328">
        <f t="shared" si="17"/>
        <v>162484.49878392974</v>
      </c>
      <c r="U34" s="328">
        <f t="shared" si="17"/>
        <v>211229.84841910866</v>
      </c>
      <c r="V34" s="328">
        <f t="shared" si="17"/>
        <v>274598.80294484127</v>
      </c>
      <c r="X34" s="46" t="s">
        <v>298</v>
      </c>
      <c r="Y34" s="120" t="s">
        <v>276</v>
      </c>
    </row>
    <row r="35" spans="1:51" s="46" customFormat="1" ht="14.5" x14ac:dyDescent="0.35">
      <c r="A35" s="140" t="s">
        <v>237</v>
      </c>
      <c r="B35" s="139">
        <f t="shared" ref="B35:U35" si="18">B28+B30</f>
        <v>1402.88</v>
      </c>
      <c r="C35" s="139">
        <f t="shared" si="18"/>
        <v>1843.2</v>
      </c>
      <c r="D35" s="139">
        <f t="shared" si="18"/>
        <v>2662.4</v>
      </c>
      <c r="E35" s="139">
        <f t="shared" si="18"/>
        <v>3187.1000000000004</v>
      </c>
      <c r="F35" s="139">
        <f t="shared" si="18"/>
        <v>4159.4030000000002</v>
      </c>
      <c r="G35" s="139">
        <f t="shared" si="18"/>
        <v>5428.0303700000013</v>
      </c>
      <c r="H35" s="139">
        <f t="shared" si="18"/>
        <v>7067.6897375000026</v>
      </c>
      <c r="I35" s="139">
        <f t="shared" si="18"/>
        <v>9223.6569681250039</v>
      </c>
      <c r="J35" s="139">
        <f t="shared" si="18"/>
        <v>12037.673626843753</v>
      </c>
      <c r="K35" s="139">
        <f t="shared" si="18"/>
        <v>15711.065893295316</v>
      </c>
      <c r="L35" s="139">
        <f t="shared" si="18"/>
        <v>20506.943909843365</v>
      </c>
      <c r="M35" s="139">
        <f t="shared" si="18"/>
        <v>26809.355695076232</v>
      </c>
      <c r="N35" s="139">
        <f t="shared" si="18"/>
        <v>35095.260174367198</v>
      </c>
      <c r="O35" s="139">
        <f t="shared" si="18"/>
        <v>45991.423901588714</v>
      </c>
      <c r="P35" s="139">
        <f t="shared" si="18"/>
        <v>60350.323926015488</v>
      </c>
      <c r="Q35" s="139">
        <f t="shared" si="18"/>
        <v>79321.417833273401</v>
      </c>
      <c r="R35" s="139">
        <f t="shared" si="18"/>
        <v>104315.19859513368</v>
      </c>
      <c r="S35" s="139">
        <f t="shared" si="18"/>
        <v>137623.03696036953</v>
      </c>
      <c r="T35" s="139">
        <f t="shared" si="18"/>
        <v>182194.40249314671</v>
      </c>
      <c r="U35" s="139">
        <f t="shared" si="18"/>
        <v>242143.25920918939</v>
      </c>
      <c r="V35" s="139">
        <f>V28+V30</f>
        <v>323269.9373348892</v>
      </c>
      <c r="X35" s="46" t="s">
        <v>299</v>
      </c>
    </row>
    <row r="36" spans="1:51" s="46" customFormat="1" ht="13" x14ac:dyDescent="0.3">
      <c r="B36" s="110"/>
      <c r="C36" s="110"/>
      <c r="D36" s="110"/>
      <c r="E36" s="110"/>
      <c r="F36" s="110"/>
      <c r="G36" s="110"/>
      <c r="H36" s="110"/>
      <c r="I36" s="109"/>
      <c r="J36" s="110"/>
      <c r="K36" s="110"/>
      <c r="L36" s="109"/>
      <c r="M36" s="110"/>
      <c r="N36" s="110"/>
      <c r="O36" s="110"/>
      <c r="P36" s="110"/>
      <c r="Q36" s="110"/>
      <c r="R36" s="110"/>
      <c r="S36" s="110"/>
      <c r="T36" s="110"/>
      <c r="U36" s="110"/>
      <c r="V36" s="110"/>
    </row>
    <row r="42" spans="1:51" x14ac:dyDescent="0.25">
      <c r="N42" s="45"/>
      <c r="O42" s="45"/>
      <c r="P42" s="45"/>
      <c r="Q42" s="45"/>
      <c r="R42" s="45"/>
      <c r="S42" s="45"/>
      <c r="T42" s="45"/>
      <c r="U42" s="45"/>
      <c r="V42" s="45"/>
      <c r="W42" s="45"/>
    </row>
    <row r="43" spans="1:51" x14ac:dyDescent="0.25">
      <c r="N43" s="45"/>
      <c r="O43" s="45"/>
      <c r="P43" s="45"/>
      <c r="Q43" s="45"/>
      <c r="R43" s="45"/>
      <c r="S43" s="45"/>
      <c r="T43" s="45"/>
      <c r="U43" s="45"/>
      <c r="V43" s="45"/>
      <c r="W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</row>
    <row r="44" spans="1:51" x14ac:dyDescent="0.25">
      <c r="N44" s="45"/>
      <c r="O44" s="45"/>
      <c r="P44" s="45"/>
      <c r="Q44" s="45"/>
      <c r="R44" s="45"/>
      <c r="S44" s="45"/>
      <c r="T44" s="45"/>
      <c r="U44" s="45"/>
      <c r="V44" s="45"/>
      <c r="W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</row>
    <row r="45" spans="1:51" x14ac:dyDescent="0.25"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58" spans="2:2" x14ac:dyDescent="0.25">
      <c r="B58" s="42" t="s">
        <v>277</v>
      </c>
    </row>
  </sheetData>
  <hyperlinks>
    <hyperlink ref="Y34" r:id="rId1"/>
  </hyperlinks>
  <pageMargins left="0.74803149606299213" right="0.74803149606299213" top="0.98425196850393704" bottom="0.98425196850393704" header="0.51181102362204722" footer="0.51181102362204722"/>
  <pageSetup orientation="portrait" r:id="rId2"/>
  <headerFooter alignWithMargins="0">
    <oddHeader>&amp;L&amp;G&amp;C&amp;F&amp;RSecurity Level</oddHeader>
    <oddFooter>&amp;L&amp;D&amp;CHuawei Proprietary - Restricted Distribution&amp;RPage&amp;Pof&amp;N</oddFooter>
  </headerFooter>
  <drawing r:id="rId3"/>
  <legacy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CN41"/>
  <sheetViews>
    <sheetView zoomScale="85" zoomScaleNormal="85" workbookViewId="0">
      <selection activeCell="E47" sqref="E47"/>
    </sheetView>
  </sheetViews>
  <sheetFormatPr defaultColWidth="9" defaultRowHeight="12.5" x14ac:dyDescent="0.25"/>
  <cols>
    <col min="1" max="1" width="9" style="42"/>
    <col min="2" max="2" width="23.61328125" style="42" customWidth="1"/>
    <col min="3" max="3" width="9" style="42"/>
    <col min="4" max="4" width="23.4609375" style="42" customWidth="1"/>
    <col min="5" max="5" width="24.23046875" style="42" customWidth="1"/>
    <col min="6" max="6" width="14.84375" style="42" customWidth="1"/>
    <col min="7" max="22" width="9" style="42"/>
    <col min="23" max="23" width="9" style="117"/>
    <col min="24" max="16384" width="9" style="42"/>
  </cols>
  <sheetData>
    <row r="3" spans="1:92" ht="13.5" x14ac:dyDescent="0.3">
      <c r="C3" s="70">
        <v>2010</v>
      </c>
      <c r="D3" s="70">
        <v>2011</v>
      </c>
      <c r="E3" s="70">
        <v>2012</v>
      </c>
      <c r="F3" s="70">
        <v>2013</v>
      </c>
      <c r="G3" s="70">
        <v>2014</v>
      </c>
      <c r="H3" s="70">
        <v>2015</v>
      </c>
      <c r="I3" s="70">
        <v>2016</v>
      </c>
      <c r="J3" s="70">
        <v>2017</v>
      </c>
      <c r="K3" s="70">
        <v>2018</v>
      </c>
      <c r="L3" s="70">
        <v>2019</v>
      </c>
      <c r="M3" s="70">
        <v>2020</v>
      </c>
      <c r="N3" s="70">
        <v>2021</v>
      </c>
      <c r="O3" s="70">
        <v>2022</v>
      </c>
      <c r="P3" s="70">
        <v>2023</v>
      </c>
      <c r="Q3" s="70">
        <v>2024</v>
      </c>
      <c r="R3" s="70">
        <v>2025</v>
      </c>
      <c r="S3" s="70">
        <v>2026</v>
      </c>
      <c r="T3" s="70">
        <v>2027</v>
      </c>
      <c r="U3" s="70">
        <v>2028</v>
      </c>
      <c r="V3" s="70">
        <v>2029</v>
      </c>
      <c r="W3" s="119">
        <v>2030</v>
      </c>
      <c r="X3" s="70">
        <v>2031</v>
      </c>
      <c r="Y3" s="70">
        <v>2032</v>
      </c>
      <c r="Z3" s="70">
        <v>2033</v>
      </c>
      <c r="AA3" s="70">
        <v>2034</v>
      </c>
      <c r="AB3" s="70">
        <v>2035</v>
      </c>
      <c r="AC3" s="70">
        <v>2036</v>
      </c>
      <c r="AD3" s="70">
        <v>2037</v>
      </c>
      <c r="AE3" s="70">
        <v>2038</v>
      </c>
      <c r="AF3" s="70">
        <v>2039</v>
      </c>
      <c r="AG3" s="70">
        <v>2040</v>
      </c>
      <c r="AH3" s="70">
        <v>2041</v>
      </c>
      <c r="AI3" s="70">
        <v>2042</v>
      </c>
      <c r="AJ3" s="70">
        <v>2043</v>
      </c>
      <c r="AK3" s="70">
        <v>2044</v>
      </c>
      <c r="AL3" s="70">
        <v>2045</v>
      </c>
      <c r="AM3" s="70">
        <v>2046</v>
      </c>
      <c r="AN3" s="70">
        <v>2047</v>
      </c>
      <c r="AO3" s="70">
        <v>2048</v>
      </c>
      <c r="AP3" s="70">
        <v>2049</v>
      </c>
      <c r="AQ3" s="70">
        <v>2050</v>
      </c>
      <c r="AR3" s="70">
        <v>2051</v>
      </c>
      <c r="AS3" s="70">
        <v>2052</v>
      </c>
      <c r="AT3" s="70">
        <v>2053</v>
      </c>
      <c r="AU3" s="70">
        <v>2054</v>
      </c>
      <c r="AV3" s="70">
        <v>2055</v>
      </c>
      <c r="AW3" s="70">
        <v>2056</v>
      </c>
      <c r="AX3" s="70">
        <v>2057</v>
      </c>
      <c r="AY3" s="70">
        <v>2058</v>
      </c>
      <c r="AZ3" s="70">
        <v>2059</v>
      </c>
      <c r="BA3" s="70">
        <v>2060</v>
      </c>
      <c r="BB3" s="70">
        <v>2061</v>
      </c>
      <c r="BC3" s="70">
        <v>2062</v>
      </c>
      <c r="BD3" s="70">
        <v>2063</v>
      </c>
      <c r="BE3" s="70">
        <v>2064</v>
      </c>
      <c r="BF3" s="70">
        <v>2065</v>
      </c>
      <c r="BG3" s="70">
        <v>2066</v>
      </c>
      <c r="BH3" s="70">
        <v>2067</v>
      </c>
      <c r="BI3" s="70">
        <v>2068</v>
      </c>
      <c r="BJ3" s="70">
        <v>2069</v>
      </c>
      <c r="BK3" s="70">
        <v>2070</v>
      </c>
      <c r="BL3" s="70">
        <v>2071</v>
      </c>
      <c r="BM3" s="70">
        <v>2072</v>
      </c>
      <c r="BN3" s="70">
        <v>2073</v>
      </c>
      <c r="BO3" s="70">
        <v>2074</v>
      </c>
      <c r="BP3" s="70">
        <v>2075</v>
      </c>
      <c r="BQ3" s="70">
        <v>2076</v>
      </c>
      <c r="BR3" s="70">
        <v>2077</v>
      </c>
      <c r="BS3" s="70">
        <v>2078</v>
      </c>
      <c r="BT3" s="70">
        <v>2079</v>
      </c>
      <c r="BU3" s="70">
        <v>2080</v>
      </c>
      <c r="BV3" s="70">
        <v>2081</v>
      </c>
      <c r="BW3" s="70">
        <v>2082</v>
      </c>
      <c r="BX3" s="70">
        <v>2083</v>
      </c>
      <c r="BY3" s="70">
        <v>2084</v>
      </c>
      <c r="BZ3" s="70">
        <v>2085</v>
      </c>
      <c r="CA3" s="70">
        <v>2086</v>
      </c>
      <c r="CB3" s="70">
        <v>2087</v>
      </c>
      <c r="CC3" s="70">
        <v>2088</v>
      </c>
      <c r="CD3" s="70">
        <v>2089</v>
      </c>
      <c r="CE3" s="70">
        <v>2090</v>
      </c>
      <c r="CF3" s="70">
        <v>2091</v>
      </c>
      <c r="CG3" s="70">
        <v>2092</v>
      </c>
      <c r="CH3" s="70">
        <v>2093</v>
      </c>
      <c r="CI3" s="70">
        <v>2094</v>
      </c>
      <c r="CJ3" s="70">
        <v>2095</v>
      </c>
      <c r="CK3" s="70">
        <v>2096</v>
      </c>
      <c r="CL3" s="70">
        <v>2097</v>
      </c>
      <c r="CM3" s="70">
        <v>2098</v>
      </c>
      <c r="CN3" s="70">
        <v>2099</v>
      </c>
    </row>
    <row r="4" spans="1:92" x14ac:dyDescent="0.25">
      <c r="B4" s="42" t="s">
        <v>105</v>
      </c>
      <c r="C4" s="43">
        <f>7/B6^4</f>
        <v>6.8543780887736583</v>
      </c>
      <c r="D4" s="43">
        <f>C4*$B$6</f>
        <v>6.8904970701667851</v>
      </c>
      <c r="E4" s="43">
        <f t="shared" ref="E4:BP4" si="0">D4*$B$6</f>
        <v>6.9268063796684549</v>
      </c>
      <c r="F4" s="43">
        <f t="shared" si="0"/>
        <v>6.9633070202080836</v>
      </c>
      <c r="G4" s="43">
        <f t="shared" si="0"/>
        <v>6.9999999999999991</v>
      </c>
      <c r="H4" s="43">
        <f t="shared" si="0"/>
        <v>7.0368863325712914</v>
      </c>
      <c r="I4" s="43">
        <f t="shared" si="0"/>
        <v>7.0739670367898064</v>
      </c>
      <c r="J4" s="43">
        <f t="shared" si="0"/>
        <v>7.1112431368922904</v>
      </c>
      <c r="K4" s="43">
        <f t="shared" si="0"/>
        <v>7.1487156625126804</v>
      </c>
      <c r="L4" s="43">
        <f t="shared" si="0"/>
        <v>7.1863856487105444</v>
      </c>
      <c r="M4" s="121">
        <f t="shared" si="0"/>
        <v>7.224254135999673</v>
      </c>
      <c r="N4" s="43">
        <f t="shared" si="0"/>
        <v>7.2623221703768186</v>
      </c>
      <c r="O4" s="43">
        <f t="shared" si="0"/>
        <v>7.3005908033505884</v>
      </c>
      <c r="P4" s="43">
        <f t="shared" si="0"/>
        <v>7.3390610919704899</v>
      </c>
      <c r="Q4" s="43">
        <f t="shared" si="0"/>
        <v>7.3777340988561262</v>
      </c>
      <c r="R4" s="43">
        <f t="shared" si="0"/>
        <v>7.4166108922265508</v>
      </c>
      <c r="S4" s="43">
        <f t="shared" si="0"/>
        <v>7.4556925459297707</v>
      </c>
      <c r="T4" s="43">
        <f t="shared" si="0"/>
        <v>7.4949801394724096</v>
      </c>
      <c r="U4" s="43">
        <f t="shared" si="0"/>
        <v>7.5344747580495257</v>
      </c>
      <c r="V4" s="43">
        <f t="shared" si="0"/>
        <v>7.5741774925745862</v>
      </c>
      <c r="W4" s="121">
        <f t="shared" si="0"/>
        <v>7.6140894397096011</v>
      </c>
      <c r="X4" s="42">
        <f t="shared" si="0"/>
        <v>7.6542117018954148</v>
      </c>
      <c r="Y4" s="42">
        <f t="shared" si="0"/>
        <v>7.6945453873821563</v>
      </c>
      <c r="Z4" s="42">
        <f t="shared" si="0"/>
        <v>7.7350916102598539</v>
      </c>
      <c r="AA4" s="42">
        <f t="shared" si="0"/>
        <v>7.7758514904892051</v>
      </c>
      <c r="AB4" s="42">
        <f t="shared" si="0"/>
        <v>7.8168261539325146</v>
      </c>
      <c r="AC4" s="42">
        <f t="shared" si="0"/>
        <v>7.8580167323847903</v>
      </c>
      <c r="AD4" s="42">
        <f t="shared" si="0"/>
        <v>7.8994243636050081</v>
      </c>
      <c r="AE4" s="42">
        <f t="shared" si="0"/>
        <v>7.9410501913475375</v>
      </c>
      <c r="AF4" s="42">
        <f t="shared" si="0"/>
        <v>7.9828953653937331</v>
      </c>
      <c r="AG4" s="42">
        <f t="shared" si="0"/>
        <v>8.0249610415836958</v>
      </c>
      <c r="AH4" s="42">
        <f t="shared" si="0"/>
        <v>8.0672483818481986</v>
      </c>
      <c r="AI4" s="42">
        <f t="shared" si="0"/>
        <v>8.1097585542407806</v>
      </c>
      <c r="AJ4" s="42">
        <f t="shared" si="0"/>
        <v>8.1524927329700105</v>
      </c>
      <c r="AK4" s="42">
        <f t="shared" si="0"/>
        <v>8.1954520984319217</v>
      </c>
      <c r="AL4" s="42">
        <f t="shared" si="0"/>
        <v>8.2386378372426154</v>
      </c>
      <c r="AM4" s="42">
        <f t="shared" si="0"/>
        <v>8.2820511422710386</v>
      </c>
      <c r="AN4" s="42">
        <f t="shared" si="0"/>
        <v>8.3256932126719327</v>
      </c>
      <c r="AO4" s="42">
        <f t="shared" si="0"/>
        <v>8.3695652539189567</v>
      </c>
      <c r="AP4" s="42">
        <f t="shared" si="0"/>
        <v>8.4136684778379838</v>
      </c>
      <c r="AQ4" s="42">
        <f t="shared" si="0"/>
        <v>8.4580041026405741</v>
      </c>
      <c r="AR4" s="42">
        <f t="shared" si="0"/>
        <v>8.5025733529576257</v>
      </c>
      <c r="AS4" s="42">
        <f t="shared" si="0"/>
        <v>8.5473774598731982</v>
      </c>
      <c r="AT4" s="42">
        <f t="shared" si="0"/>
        <v>8.5924176609585192</v>
      </c>
      <c r="AU4" s="42">
        <f t="shared" si="0"/>
        <v>8.6376952003061707</v>
      </c>
      <c r="AV4" s="42">
        <f t="shared" si="0"/>
        <v>8.6832113285644486</v>
      </c>
      <c r="AW4" s="42">
        <f t="shared" si="0"/>
        <v>8.7289673029719115</v>
      </c>
      <c r="AX4" s="42">
        <f t="shared" si="0"/>
        <v>8.7749643873921066</v>
      </c>
      <c r="AY4" s="42">
        <f t="shared" si="0"/>
        <v>8.8212038523484768</v>
      </c>
      <c r="AZ4" s="42">
        <f t="shared" si="0"/>
        <v>8.8676869750594616</v>
      </c>
      <c r="BA4" s="42">
        <f t="shared" si="0"/>
        <v>8.91441503947377</v>
      </c>
      <c r="BB4" s="42">
        <f t="shared" si="0"/>
        <v>8.9613893363058494</v>
      </c>
      <c r="BC4" s="42">
        <f t="shared" si="0"/>
        <v>9.0086111630715369</v>
      </c>
      <c r="BD4" s="42">
        <f t="shared" si="0"/>
        <v>9.056081824123897</v>
      </c>
      <c r="BE4" s="42">
        <f t="shared" si="0"/>
        <v>9.1038026306892501</v>
      </c>
      <c r="BF4" s="42">
        <f t="shared" si="0"/>
        <v>9.1517749009033942</v>
      </c>
      <c r="BG4" s="42">
        <f t="shared" si="0"/>
        <v>9.1999999598480127</v>
      </c>
      <c r="BH4" s="42">
        <f t="shared" si="0"/>
        <v>9.2484791395872747</v>
      </c>
      <c r="BI4" s="42">
        <f t="shared" si="0"/>
        <v>9.297213779204629</v>
      </c>
      <c r="BJ4" s="42">
        <f t="shared" si="0"/>
        <v>9.3462052248397924</v>
      </c>
      <c r="BK4" s="42">
        <f t="shared" si="0"/>
        <v>9.3954548297259333</v>
      </c>
      <c r="BL4" s="42">
        <f t="shared" si="0"/>
        <v>9.4449639542270507</v>
      </c>
      <c r="BM4" s="42">
        <f t="shared" si="0"/>
        <v>9.4947339658755485</v>
      </c>
      <c r="BN4" s="42">
        <f t="shared" si="0"/>
        <v>9.544766239410011</v>
      </c>
      <c r="BO4" s="42">
        <f t="shared" si="0"/>
        <v>9.5950621568131709</v>
      </c>
      <c r="BP4" s="42">
        <f t="shared" si="0"/>
        <v>9.6456231073500902</v>
      </c>
      <c r="BQ4" s="42">
        <f t="shared" ref="BQ4:CN4" si="1">BP4*$B$6</f>
        <v>9.6964504876065281</v>
      </c>
      <c r="BR4" s="42">
        <f t="shared" si="1"/>
        <v>9.7475457015275175</v>
      </c>
      <c r="BS4" s="42">
        <f t="shared" si="1"/>
        <v>9.798910160456149</v>
      </c>
      <c r="BT4" s="42">
        <f t="shared" si="1"/>
        <v>9.8505452831725488</v>
      </c>
      <c r="BU4" s="42">
        <f t="shared" si="1"/>
        <v>9.9024524959330744</v>
      </c>
      <c r="BV4" s="42">
        <f t="shared" si="1"/>
        <v>9.9546332325097051</v>
      </c>
      <c r="BW4" s="42">
        <f t="shared" si="1"/>
        <v>10.007088934229648</v>
      </c>
      <c r="BX4" s="42">
        <f t="shared" si="1"/>
        <v>10.059821050015147</v>
      </c>
      <c r="BY4" s="42">
        <f t="shared" si="1"/>
        <v>10.112831036423511</v>
      </c>
      <c r="BZ4" s="42">
        <f t="shared" si="1"/>
        <v>10.16612035768734</v>
      </c>
      <c r="CA4" s="42">
        <f t="shared" si="1"/>
        <v>10.219690485754976</v>
      </c>
      <c r="CB4" s="42">
        <f t="shared" si="1"/>
        <v>10.273542900331151</v>
      </c>
      <c r="CC4" s="42">
        <f t="shared" si="1"/>
        <v>10.327679088917874</v>
      </c>
      <c r="CD4" s="42">
        <f t="shared" si="1"/>
        <v>10.382100546855504</v>
      </c>
      <c r="CE4" s="42">
        <f t="shared" si="1"/>
        <v>10.436808777364062</v>
      </c>
      <c r="CF4" s="42">
        <f t="shared" si="1"/>
        <v>10.491805291584752</v>
      </c>
      <c r="CG4" s="42">
        <f t="shared" si="1"/>
        <v>10.547091608621701</v>
      </c>
      <c r="CH4" s="42">
        <f t="shared" si="1"/>
        <v>10.602669255583915</v>
      </c>
      <c r="CI4" s="42">
        <f t="shared" si="1"/>
        <v>10.65853976762747</v>
      </c>
      <c r="CJ4" s="42">
        <f t="shared" si="1"/>
        <v>10.714704687997907</v>
      </c>
      <c r="CK4" s="42">
        <f t="shared" si="1"/>
        <v>10.771165568072862</v>
      </c>
      <c r="CL4" s="42">
        <f t="shared" si="1"/>
        <v>10.827923967404917</v>
      </c>
      <c r="CM4" s="42">
        <f t="shared" si="1"/>
        <v>10.884981453764684</v>
      </c>
      <c r="CN4" s="42">
        <f t="shared" si="1"/>
        <v>10.9423396031841</v>
      </c>
    </row>
    <row r="5" spans="1:92" x14ac:dyDescent="0.25">
      <c r="C5" s="43">
        <f>C4*$B$9</f>
        <v>9.5961293242831207</v>
      </c>
      <c r="D5" s="43">
        <f t="shared" ref="D5:X5" si="2">D4*$B$9</f>
        <v>9.6466958982334994</v>
      </c>
      <c r="E5" s="43">
        <f t="shared" si="2"/>
        <v>9.6975289315358371</v>
      </c>
      <c r="F5" s="43">
        <f t="shared" si="2"/>
        <v>9.7486298282913157</v>
      </c>
      <c r="G5" s="43">
        <f t="shared" si="2"/>
        <v>9.7999999999999989</v>
      </c>
      <c r="H5" s="43">
        <f t="shared" si="2"/>
        <v>9.8516408655998067</v>
      </c>
      <c r="I5" s="43">
        <f t="shared" si="2"/>
        <v>9.9035538515057286</v>
      </c>
      <c r="J5" s="43">
        <f t="shared" si="2"/>
        <v>9.955740391649206</v>
      </c>
      <c r="K5" s="43">
        <f t="shared" si="2"/>
        <v>10.008201927517751</v>
      </c>
      <c r="L5" s="43">
        <f t="shared" si="2"/>
        <v>10.060939908194761</v>
      </c>
      <c r="M5" s="43">
        <f t="shared" si="2"/>
        <v>10.113955790399542</v>
      </c>
      <c r="N5" s="43">
        <f t="shared" si="2"/>
        <v>10.167251038527546</v>
      </c>
      <c r="O5" s="43">
        <f t="shared" si="2"/>
        <v>10.220827124690823</v>
      </c>
      <c r="P5" s="43">
        <f t="shared" si="2"/>
        <v>10.274685528758685</v>
      </c>
      <c r="Q5" s="43">
        <f t="shared" si="2"/>
        <v>10.328827738398576</v>
      </c>
      <c r="R5" s="43">
        <f t="shared" si="2"/>
        <v>10.38325524911717</v>
      </c>
      <c r="S5" s="43">
        <f t="shared" si="2"/>
        <v>10.437969564301678</v>
      </c>
      <c r="T5" s="43">
        <f t="shared" si="2"/>
        <v>10.492972195261373</v>
      </c>
      <c r="U5" s="43">
        <f t="shared" si="2"/>
        <v>10.548264661269336</v>
      </c>
      <c r="V5" s="43">
        <f t="shared" si="2"/>
        <v>10.60384848960442</v>
      </c>
      <c r="W5" s="43">
        <f t="shared" si="2"/>
        <v>10.659725215593442</v>
      </c>
      <c r="X5" s="43">
        <f t="shared" si="2"/>
        <v>10.715896382653581</v>
      </c>
    </row>
    <row r="6" spans="1:92" x14ac:dyDescent="0.25">
      <c r="A6" s="42" t="s">
        <v>106</v>
      </c>
      <c r="B6" s="42">
        <f>(11/7)^(1/86)</f>
        <v>1.0052694760816132</v>
      </c>
    </row>
    <row r="7" spans="1:92" ht="13.5" x14ac:dyDescent="0.3">
      <c r="A7" s="42" t="s">
        <v>325</v>
      </c>
      <c r="B7" s="120" t="s">
        <v>104</v>
      </c>
    </row>
    <row r="8" spans="1:92" x14ac:dyDescent="0.25">
      <c r="B8" s="42" t="s">
        <v>113</v>
      </c>
    </row>
    <row r="9" spans="1:92" x14ac:dyDescent="0.25">
      <c r="B9" s="42">
        <v>1.4</v>
      </c>
    </row>
    <row r="11" spans="1:92" x14ac:dyDescent="0.25">
      <c r="B11" s="42" t="s">
        <v>142</v>
      </c>
    </row>
    <row r="12" spans="1:92" x14ac:dyDescent="0.25">
      <c r="B12" s="42" t="s">
        <v>141</v>
      </c>
      <c r="D12" s="42" t="s">
        <v>109</v>
      </c>
      <c r="E12" s="42" t="s">
        <v>111</v>
      </c>
      <c r="F12" s="42" t="s">
        <v>110</v>
      </c>
      <c r="W12" s="42">
        <f>W5*$B$13</f>
        <v>1.0659725215593443</v>
      </c>
    </row>
    <row r="13" spans="1:92" x14ac:dyDescent="0.25">
      <c r="B13" s="42">
        <v>0.1</v>
      </c>
      <c r="C13" s="42" t="s">
        <v>108</v>
      </c>
      <c r="D13" s="42">
        <v>1.5</v>
      </c>
      <c r="E13" s="42">
        <v>120</v>
      </c>
      <c r="F13" s="122">
        <f>D13*3600*365*E13/8*B13*W5*1000000000/2^40</f>
        <v>28663.159900954281</v>
      </c>
    </row>
    <row r="14" spans="1:92" x14ac:dyDescent="0.25">
      <c r="B14" s="42" t="s">
        <v>62</v>
      </c>
      <c r="F14" s="122"/>
    </row>
    <row r="15" spans="1:92" x14ac:dyDescent="0.25">
      <c r="B15" s="42">
        <v>0.3</v>
      </c>
      <c r="C15" s="42" t="s">
        <v>311</v>
      </c>
      <c r="D15" s="42">
        <v>1.5</v>
      </c>
      <c r="E15" s="42">
        <v>15</v>
      </c>
      <c r="F15" s="122">
        <f>D15*3600*365*E15/8*B15*W5*1000000000/2^40</f>
        <v>10748.684962857855</v>
      </c>
    </row>
    <row r="16" spans="1:92" x14ac:dyDescent="0.25">
      <c r="B16" s="42" t="s">
        <v>22</v>
      </c>
      <c r="F16" s="122"/>
    </row>
    <row r="17" spans="2:8" x14ac:dyDescent="0.25">
      <c r="B17" s="42">
        <v>0.1</v>
      </c>
      <c r="C17" s="42" t="s">
        <v>312</v>
      </c>
      <c r="D17" s="42">
        <v>1.5</v>
      </c>
      <c r="E17" s="42">
        <v>2</v>
      </c>
      <c r="F17" s="122">
        <f>D17*3600*365*E17/8*B17*W5*1000000000/2^40</f>
        <v>477.71933168257135</v>
      </c>
    </row>
    <row r="18" spans="2:8" x14ac:dyDescent="0.25">
      <c r="B18" s="42" t="s">
        <v>107</v>
      </c>
    </row>
    <row r="19" spans="2:8" x14ac:dyDescent="0.25">
      <c r="B19" s="42">
        <v>0.1</v>
      </c>
    </row>
    <row r="20" spans="2:8" x14ac:dyDescent="0.25">
      <c r="B20" s="42" t="s">
        <v>309</v>
      </c>
      <c r="C20" s="42" t="s">
        <v>108</v>
      </c>
    </row>
    <row r="21" spans="2:8" x14ac:dyDescent="0.25">
      <c r="B21" s="42">
        <v>0.02</v>
      </c>
      <c r="D21" s="42">
        <v>1.5</v>
      </c>
      <c r="E21" s="42">
        <v>120</v>
      </c>
      <c r="F21" s="42">
        <f>D21*3600*365*E21/8*B21*W5*1000000000/2^40</f>
        <v>5732.6319801908558</v>
      </c>
    </row>
    <row r="22" spans="2:8" x14ac:dyDescent="0.25">
      <c r="B22" s="42" t="s">
        <v>310</v>
      </c>
      <c r="C22" s="42" t="s">
        <v>108</v>
      </c>
    </row>
    <row r="23" spans="2:8" x14ac:dyDescent="0.25">
      <c r="B23" s="42">
        <v>0.02</v>
      </c>
      <c r="D23" s="42">
        <v>1.5</v>
      </c>
      <c r="E23" s="42">
        <v>120</v>
      </c>
      <c r="F23" s="42">
        <f>D23*3600*365*E23/8*B23*W5*1000000000/2^40</f>
        <v>5732.6319801908558</v>
      </c>
    </row>
    <row r="27" spans="2:8" x14ac:dyDescent="0.25">
      <c r="E27" s="42" t="s">
        <v>112</v>
      </c>
      <c r="F27" s="122">
        <f>SUM(F13:F23)</f>
        <v>51354.828155876414</v>
      </c>
      <c r="G27" s="42" t="s">
        <v>151</v>
      </c>
      <c r="H27" s="42" t="s">
        <v>169</v>
      </c>
    </row>
    <row r="28" spans="2:8" x14ac:dyDescent="0.25">
      <c r="F28" s="44">
        <f>F27/'WAN FAN Wi-Fi'!AB79</f>
        <v>0.88744898880349021</v>
      </c>
    </row>
    <row r="32" spans="2:8" ht="13" x14ac:dyDescent="0.3">
      <c r="B32" s="46" t="s">
        <v>326</v>
      </c>
    </row>
    <row r="35" spans="2:4" x14ac:dyDescent="0.25">
      <c r="B35" s="42" t="s">
        <v>322</v>
      </c>
      <c r="C35" s="122">
        <v>1400000000</v>
      </c>
      <c r="D35" s="42" t="s">
        <v>315</v>
      </c>
    </row>
    <row r="36" spans="2:4" x14ac:dyDescent="0.25">
      <c r="B36" s="42" t="s">
        <v>324</v>
      </c>
      <c r="C36" s="42">
        <f>20/100</f>
        <v>0.2</v>
      </c>
      <c r="D36" s="42" t="s">
        <v>316</v>
      </c>
    </row>
    <row r="37" spans="2:4" x14ac:dyDescent="0.25">
      <c r="B37" s="42" t="s">
        <v>321</v>
      </c>
      <c r="C37" s="42">
        <v>18000</v>
      </c>
      <c r="D37" s="42" t="s">
        <v>317</v>
      </c>
    </row>
    <row r="38" spans="2:4" x14ac:dyDescent="0.25">
      <c r="B38" s="42" t="s">
        <v>318</v>
      </c>
      <c r="C38" s="42">
        <v>0.25</v>
      </c>
    </row>
    <row r="39" spans="2:4" x14ac:dyDescent="0.25">
      <c r="B39" s="42" t="s">
        <v>319</v>
      </c>
      <c r="C39" s="122">
        <f>C35*C36*C37*C38</f>
        <v>1260000000000</v>
      </c>
    </row>
    <row r="40" spans="2:4" x14ac:dyDescent="0.25">
      <c r="B40" s="42" t="s">
        <v>320</v>
      </c>
      <c r="C40" s="122">
        <f>C39*1000/1000000000000</f>
        <v>1260</v>
      </c>
    </row>
    <row r="41" spans="2:4" x14ac:dyDescent="0.25">
      <c r="B41" s="42" t="s">
        <v>323</v>
      </c>
      <c r="C41" s="309">
        <f>C40/'Future 2030'!V22</f>
        <v>3.6241789981442452E-2</v>
      </c>
    </row>
  </sheetData>
  <hyperlinks>
    <hyperlink ref="B7" r:id="rId1"/>
  </hyperlinks>
  <pageMargins left="0.74803149606299213" right="0.74803149606299213" top="0.98425196850393704" bottom="0.98425196850393704" header="0.51181102362204722" footer="0.51181102362204722"/>
  <pageSetup orientation="portrait" r:id="rId2"/>
  <headerFooter alignWithMargins="0">
    <oddHeader>&amp;L&amp;G&amp;C&amp;F&amp;RSecurity Level</oddHeader>
    <oddFooter>&amp;L&amp;D&amp;CHuawei Proprietary - Restricted Distribution&amp;RPage&amp;Pof&amp;N</oddFooter>
  </headerFooter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7"/>
  <sheetViews>
    <sheetView topLeftCell="K1" zoomScale="40" zoomScaleNormal="40" workbookViewId="0">
      <selection activeCell="AA291" sqref="AA291"/>
    </sheetView>
  </sheetViews>
  <sheetFormatPr defaultColWidth="11" defaultRowHeight="13.5" x14ac:dyDescent="0.3"/>
  <cols>
    <col min="1" max="1" width="52.61328125" style="38" bestFit="1" customWidth="1"/>
    <col min="2" max="2" width="26.4609375" style="38" bestFit="1" customWidth="1"/>
    <col min="3" max="3" width="42.15234375" style="38" bestFit="1" customWidth="1"/>
    <col min="4" max="4" width="30.15234375" style="38" bestFit="1" customWidth="1"/>
    <col min="5" max="5" width="14" style="38" bestFit="1" customWidth="1"/>
    <col min="6" max="6" width="18.23046875" style="38" bestFit="1" customWidth="1"/>
    <col min="7" max="7" width="9.53515625" style="38" bestFit="1" customWidth="1"/>
    <col min="8" max="8" width="64.4609375" style="38" bestFit="1" customWidth="1"/>
    <col min="9" max="10" width="11.84375" style="38" bestFit="1" customWidth="1"/>
    <col min="11" max="11" width="74.15234375" style="38" bestFit="1" customWidth="1"/>
    <col min="12" max="12" width="78" style="38" bestFit="1" customWidth="1"/>
    <col min="13" max="14" width="11.84375" style="38" bestFit="1" customWidth="1"/>
    <col min="15" max="16" width="7.61328125" style="38" bestFit="1" customWidth="1"/>
    <col min="17" max="17" width="12.61328125" style="38" bestFit="1" customWidth="1"/>
    <col min="18" max="22" width="9" style="38" bestFit="1" customWidth="1"/>
    <col min="23" max="24" width="8.765625" style="38" bestFit="1" customWidth="1"/>
    <col min="25" max="25" width="9" style="38" bestFit="1" customWidth="1"/>
    <col min="26" max="26" width="11.23046875" style="38" bestFit="1" customWidth="1"/>
    <col min="27" max="27" width="29" style="38" bestFit="1" customWidth="1"/>
    <col min="28" max="28" width="59.84375" style="38" bestFit="1" customWidth="1"/>
    <col min="29" max="29" width="11.15234375" style="38" bestFit="1" customWidth="1"/>
    <col min="30" max="30" width="3.3828125" style="38" bestFit="1" customWidth="1"/>
    <col min="31" max="31" width="10.15234375" style="38" bestFit="1" customWidth="1"/>
    <col min="32" max="32" width="9.3828125" style="38" bestFit="1" customWidth="1"/>
    <col min="33" max="16384" width="11" style="38"/>
  </cols>
  <sheetData>
    <row r="1" spans="1:27" s="70" customFormat="1" x14ac:dyDescent="0.3"/>
    <row r="2" spans="1:27" s="70" customFormat="1" x14ac:dyDescent="0.3">
      <c r="R2" s="119"/>
      <c r="S2" s="119"/>
      <c r="T2" s="119"/>
      <c r="U2" s="119"/>
      <c r="V2" s="119"/>
      <c r="W2" s="119"/>
      <c r="X2" s="119"/>
      <c r="Y2" s="119"/>
      <c r="Z2" s="119"/>
      <c r="AA2" s="119"/>
    </row>
    <row r="3" spans="1:27" s="70" customFormat="1" ht="31.5" x14ac:dyDescent="0.55000000000000004">
      <c r="L3" s="131" t="s">
        <v>146</v>
      </c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7" s="70" customFormat="1" x14ac:dyDescent="0.3"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1:27" s="37" customFormat="1" x14ac:dyDescent="0.3">
      <c r="A5" s="71"/>
      <c r="B5" s="71"/>
      <c r="C5" s="72"/>
      <c r="D5" s="70" t="s">
        <v>133</v>
      </c>
      <c r="E5" s="70">
        <v>2010</v>
      </c>
      <c r="F5" s="70">
        <v>2011</v>
      </c>
      <c r="G5" s="70">
        <v>2012</v>
      </c>
      <c r="H5" s="70">
        <v>2013</v>
      </c>
      <c r="I5" s="70">
        <v>2014</v>
      </c>
      <c r="J5" s="70">
        <v>2015</v>
      </c>
      <c r="K5" s="70">
        <v>2016</v>
      </c>
      <c r="L5" s="70">
        <v>2017</v>
      </c>
      <c r="M5" s="70">
        <v>2018</v>
      </c>
      <c r="N5" s="70">
        <v>2019</v>
      </c>
      <c r="O5" s="70">
        <v>2020</v>
      </c>
      <c r="P5" s="119">
        <v>2021</v>
      </c>
      <c r="Q5" s="119">
        <v>2022</v>
      </c>
      <c r="R5" s="119">
        <v>2023</v>
      </c>
      <c r="S5" s="119">
        <v>2024</v>
      </c>
      <c r="T5" s="119">
        <v>2025</v>
      </c>
      <c r="U5" s="119">
        <v>2026</v>
      </c>
      <c r="V5" s="119">
        <v>2027</v>
      </c>
      <c r="W5" s="119">
        <v>2028</v>
      </c>
      <c r="X5" s="119">
        <v>2029</v>
      </c>
      <c r="Y5" s="119">
        <v>2030</v>
      </c>
    </row>
    <row r="6" spans="1:27" x14ac:dyDescent="0.3">
      <c r="A6" s="73"/>
      <c r="B6" s="73"/>
      <c r="C6" s="56" t="s">
        <v>249</v>
      </c>
      <c r="D6" s="50"/>
      <c r="E6" s="55">
        <f xml:space="preserve"> $B$17*$E$29/(1-$B$17)</f>
        <v>1.5623529411764703</v>
      </c>
      <c r="F6" s="87">
        <f>$E$6</f>
        <v>1.5623529411764703</v>
      </c>
      <c r="G6" s="87">
        <f>$E$6</f>
        <v>1.5623529411764703</v>
      </c>
      <c r="H6" s="87">
        <f t="shared" ref="H6:N6" si="0">$E$6</f>
        <v>1.5623529411764703</v>
      </c>
      <c r="I6" s="87">
        <f t="shared" si="0"/>
        <v>1.5623529411764703</v>
      </c>
      <c r="J6" s="87">
        <f t="shared" si="0"/>
        <v>1.5623529411764703</v>
      </c>
      <c r="K6" s="87">
        <f t="shared" si="0"/>
        <v>1.5623529411764703</v>
      </c>
      <c r="L6" s="87">
        <f t="shared" si="0"/>
        <v>1.5623529411764703</v>
      </c>
      <c r="M6" s="87">
        <f t="shared" si="0"/>
        <v>1.5623529411764703</v>
      </c>
      <c r="N6" s="87">
        <f t="shared" si="0"/>
        <v>1.5623529411764703</v>
      </c>
      <c r="O6" s="87">
        <f>$E$6</f>
        <v>1.5623529411764703</v>
      </c>
      <c r="P6" s="87">
        <f t="shared" ref="P6:Y6" si="1">$E$6</f>
        <v>1.5623529411764703</v>
      </c>
      <c r="Q6" s="87">
        <f t="shared" si="1"/>
        <v>1.5623529411764703</v>
      </c>
      <c r="R6" s="87">
        <f t="shared" si="1"/>
        <v>1.5623529411764703</v>
      </c>
      <c r="S6" s="87">
        <f t="shared" si="1"/>
        <v>1.5623529411764703</v>
      </c>
      <c r="T6" s="87">
        <f t="shared" si="1"/>
        <v>1.5623529411764703</v>
      </c>
      <c r="U6" s="87">
        <f t="shared" si="1"/>
        <v>1.5623529411764703</v>
      </c>
      <c r="V6" s="87">
        <f t="shared" si="1"/>
        <v>1.5623529411764703</v>
      </c>
      <c r="W6" s="87">
        <f t="shared" si="1"/>
        <v>1.5623529411764703</v>
      </c>
      <c r="X6" s="87">
        <f t="shared" si="1"/>
        <v>1.5623529411764703</v>
      </c>
      <c r="Y6" s="87">
        <f t="shared" si="1"/>
        <v>1.5623529411764703</v>
      </c>
    </row>
    <row r="7" spans="1:27" x14ac:dyDescent="0.3">
      <c r="A7" s="50"/>
      <c r="B7" s="50"/>
      <c r="C7" s="56"/>
      <c r="D7" s="50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</row>
    <row r="8" spans="1:27" x14ac:dyDescent="0.3">
      <c r="C8" s="56" t="s">
        <v>248</v>
      </c>
      <c r="D8" s="50"/>
      <c r="E8" s="55">
        <f>E29*E$36</f>
        <v>0.15040000000000001</v>
      </c>
      <c r="F8" s="55">
        <f t="shared" ref="F8:N8" si="2">F29*F$36</f>
        <v>0.18527399999999999</v>
      </c>
      <c r="G8" s="55">
        <f t="shared" si="2"/>
        <v>0.2254167</v>
      </c>
      <c r="H8" s="55">
        <f>H29*H$36</f>
        <v>0.292540784</v>
      </c>
      <c r="I8" s="55">
        <f>I29*I$36</f>
        <v>0.37372085155999996</v>
      </c>
      <c r="J8" s="55">
        <f>J29*J$36</f>
        <v>0.4579415148937</v>
      </c>
      <c r="K8" s="55">
        <f>K29*K$36</f>
        <v>0.52634043903314198</v>
      </c>
      <c r="L8" s="55">
        <f t="shared" si="2"/>
        <v>0.58153505804526606</v>
      </c>
      <c r="M8" s="55">
        <f t="shared" si="2"/>
        <v>0.6707425359494098</v>
      </c>
      <c r="N8" s="55">
        <f t="shared" si="2"/>
        <v>0.77363444096404932</v>
      </c>
      <c r="O8" s="55">
        <f>O29*O$36</f>
        <v>0.88352588799999565</v>
      </c>
      <c r="P8" s="55">
        <f>P29*P$36</f>
        <v>1.04697817728</v>
      </c>
      <c r="Q8" s="55">
        <f>$P$8</f>
        <v>1.04697817728</v>
      </c>
      <c r="R8" s="55">
        <f t="shared" ref="R8:Y8" si="3">$P$8</f>
        <v>1.04697817728</v>
      </c>
      <c r="S8" s="55">
        <f t="shared" si="3"/>
        <v>1.04697817728</v>
      </c>
      <c r="T8" s="55">
        <f t="shared" si="3"/>
        <v>1.04697817728</v>
      </c>
      <c r="U8" s="55">
        <f t="shared" si="3"/>
        <v>1.04697817728</v>
      </c>
      <c r="V8" s="55">
        <f t="shared" si="3"/>
        <v>1.04697817728</v>
      </c>
      <c r="W8" s="55">
        <f t="shared" si="3"/>
        <v>1.04697817728</v>
      </c>
      <c r="X8" s="55">
        <f t="shared" si="3"/>
        <v>1.04697817728</v>
      </c>
      <c r="Y8" s="55">
        <f t="shared" si="3"/>
        <v>1.04697817728</v>
      </c>
      <c r="Z8" s="41" t="s">
        <v>145</v>
      </c>
      <c r="AA8" s="38" t="s">
        <v>163</v>
      </c>
    </row>
    <row r="9" spans="1:27" ht="14.5" x14ac:dyDescent="0.35">
      <c r="C9" s="50" t="s">
        <v>97</v>
      </c>
      <c r="D9" s="5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265">
        <f>P30*P$36</f>
        <v>0.92399999999999993</v>
      </c>
      <c r="Q9" s="265">
        <f>$P$9</f>
        <v>0.92399999999999993</v>
      </c>
      <c r="R9" s="265">
        <f t="shared" ref="R9:Y9" si="4">$P$9</f>
        <v>0.92399999999999993</v>
      </c>
      <c r="S9" s="265">
        <f t="shared" si="4"/>
        <v>0.92399999999999993</v>
      </c>
      <c r="T9" s="265">
        <f t="shared" si="4"/>
        <v>0.92399999999999993</v>
      </c>
      <c r="U9" s="265">
        <f t="shared" si="4"/>
        <v>0.92399999999999993</v>
      </c>
      <c r="V9" s="265">
        <f t="shared" si="4"/>
        <v>0.92399999999999993</v>
      </c>
      <c r="W9" s="265">
        <f t="shared" si="4"/>
        <v>0.92399999999999993</v>
      </c>
      <c r="X9" s="265">
        <f t="shared" si="4"/>
        <v>0.92399999999999993</v>
      </c>
      <c r="Y9" s="265">
        <f t="shared" si="4"/>
        <v>0.92399999999999993</v>
      </c>
      <c r="Z9" s="137" t="s">
        <v>152</v>
      </c>
    </row>
    <row r="10" spans="1:27" ht="14.5" x14ac:dyDescent="0.35">
      <c r="C10" s="50" t="s">
        <v>281</v>
      </c>
      <c r="D10" s="50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266">
        <f>P31*P$36</f>
        <v>0.99</v>
      </c>
      <c r="Q10" s="266">
        <f>$P$10</f>
        <v>0.99</v>
      </c>
      <c r="R10" s="266">
        <f t="shared" ref="R10:Y10" si="5">$P$10</f>
        <v>0.99</v>
      </c>
      <c r="S10" s="266">
        <f t="shared" si="5"/>
        <v>0.99</v>
      </c>
      <c r="T10" s="266">
        <f t="shared" si="5"/>
        <v>0.99</v>
      </c>
      <c r="U10" s="266">
        <f t="shared" si="5"/>
        <v>0.99</v>
      </c>
      <c r="V10" s="266">
        <f t="shared" si="5"/>
        <v>0.99</v>
      </c>
      <c r="W10" s="266">
        <f t="shared" si="5"/>
        <v>0.99</v>
      </c>
      <c r="X10" s="266">
        <f t="shared" si="5"/>
        <v>0.99</v>
      </c>
      <c r="Y10" s="266">
        <f t="shared" si="5"/>
        <v>0.99</v>
      </c>
      <c r="Z10" s="141" t="s">
        <v>16</v>
      </c>
    </row>
    <row r="11" spans="1:27" ht="14.5" x14ac:dyDescent="0.35">
      <c r="C11" s="50" t="s">
        <v>115</v>
      </c>
      <c r="D11" s="50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267">
        <f>P32*P$36</f>
        <v>1.056</v>
      </c>
      <c r="Q11" s="267">
        <f>$P$11</f>
        <v>1.056</v>
      </c>
      <c r="R11" s="267">
        <f t="shared" ref="R11:Y11" si="6">$P$11</f>
        <v>1.056</v>
      </c>
      <c r="S11" s="267">
        <f t="shared" si="6"/>
        <v>1.056</v>
      </c>
      <c r="T11" s="267">
        <f t="shared" si="6"/>
        <v>1.056</v>
      </c>
      <c r="U11" s="267">
        <f t="shared" si="6"/>
        <v>1.056</v>
      </c>
      <c r="V11" s="267">
        <f t="shared" si="6"/>
        <v>1.056</v>
      </c>
      <c r="W11" s="267">
        <f t="shared" si="6"/>
        <v>1.056</v>
      </c>
      <c r="X11" s="267">
        <f t="shared" si="6"/>
        <v>1.056</v>
      </c>
      <c r="Y11" s="267">
        <f t="shared" si="6"/>
        <v>1.056</v>
      </c>
      <c r="Z11" s="140" t="s">
        <v>58</v>
      </c>
    </row>
    <row r="12" spans="1:27" x14ac:dyDescent="0.3">
      <c r="C12" s="50"/>
      <c r="D12" s="50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87"/>
      <c r="Q12" s="87"/>
      <c r="R12" s="87"/>
      <c r="S12" s="87"/>
      <c r="T12" s="87"/>
      <c r="U12" s="87"/>
      <c r="V12" s="87"/>
      <c r="W12" s="87"/>
      <c r="X12" s="87"/>
      <c r="Y12" s="87"/>
    </row>
    <row r="13" spans="1:27" x14ac:dyDescent="0.3">
      <c r="A13" s="73" t="s">
        <v>156</v>
      </c>
      <c r="B13" s="74">
        <v>1.58</v>
      </c>
      <c r="C13" s="56" t="s">
        <v>247</v>
      </c>
      <c r="D13" s="50"/>
      <c r="E13" s="55">
        <f>E29*E$37</f>
        <v>0.16</v>
      </c>
      <c r="F13" s="55">
        <f>F29*F$37</f>
        <v>0.32400000000000001</v>
      </c>
      <c r="G13" s="55">
        <f t="shared" ref="G13:M13" si="7">G29*G$37</f>
        <v>0.57600000000000007</v>
      </c>
      <c r="H13" s="55">
        <f t="shared" si="7"/>
        <v>0.97599999999999998</v>
      </c>
      <c r="I13" s="55">
        <f t="shared" si="7"/>
        <v>1.3159999999999998</v>
      </c>
      <c r="J13" s="55">
        <f>J29*J$37</f>
        <v>1.645</v>
      </c>
      <c r="K13" s="55">
        <f t="shared" si="7"/>
        <v>2.0720000000000001</v>
      </c>
      <c r="L13" s="55">
        <f t="shared" si="7"/>
        <v>2.2399999999999998</v>
      </c>
      <c r="M13" s="55">
        <f t="shared" si="7"/>
        <v>2.8313600000000001</v>
      </c>
      <c r="N13" s="55">
        <f>N29*N$37</f>
        <v>2.9357663999999999</v>
      </c>
      <c r="O13" s="55">
        <f>O29*O$37</f>
        <v>3.0923406080000007</v>
      </c>
      <c r="P13" s="69">
        <f>P29*P$37</f>
        <v>3.4899272576000002</v>
      </c>
      <c r="Q13" s="69">
        <f>$P$13</f>
        <v>3.4899272576000002</v>
      </c>
      <c r="R13" s="69">
        <f t="shared" ref="R13:X13" si="8">$P$13</f>
        <v>3.4899272576000002</v>
      </c>
      <c r="S13" s="69">
        <f t="shared" si="8"/>
        <v>3.4899272576000002</v>
      </c>
      <c r="T13" s="69">
        <f t="shared" si="8"/>
        <v>3.4899272576000002</v>
      </c>
      <c r="U13" s="69">
        <f t="shared" si="8"/>
        <v>3.4899272576000002</v>
      </c>
      <c r="V13" s="69">
        <f t="shared" si="8"/>
        <v>3.4899272576000002</v>
      </c>
      <c r="W13" s="69">
        <f t="shared" si="8"/>
        <v>3.4899272576000002</v>
      </c>
      <c r="X13" s="69">
        <f t="shared" si="8"/>
        <v>3.4899272576000002</v>
      </c>
      <c r="Y13" s="69">
        <f>$P$13</f>
        <v>3.4899272576000002</v>
      </c>
      <c r="Z13" s="41" t="s">
        <v>145</v>
      </c>
      <c r="AA13" s="38" t="s">
        <v>164</v>
      </c>
    </row>
    <row r="14" spans="1:27" ht="14.5" x14ac:dyDescent="0.35">
      <c r="A14" s="50" t="s">
        <v>153</v>
      </c>
      <c r="B14" s="50">
        <v>1.4</v>
      </c>
      <c r="C14" s="50" t="s">
        <v>97</v>
      </c>
      <c r="D14" s="50"/>
      <c r="E14" s="55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239">
        <f>P30*P$37</f>
        <v>3.08</v>
      </c>
      <c r="Q14" s="239">
        <f>$P$14</f>
        <v>3.08</v>
      </c>
      <c r="R14" s="239">
        <f t="shared" ref="R14:X14" si="9">$P$14</f>
        <v>3.08</v>
      </c>
      <c r="S14" s="239">
        <f t="shared" si="9"/>
        <v>3.08</v>
      </c>
      <c r="T14" s="239">
        <f t="shared" si="9"/>
        <v>3.08</v>
      </c>
      <c r="U14" s="239">
        <f t="shared" si="9"/>
        <v>3.08</v>
      </c>
      <c r="V14" s="239">
        <f t="shared" si="9"/>
        <v>3.08</v>
      </c>
      <c r="W14" s="239">
        <f t="shared" si="9"/>
        <v>3.08</v>
      </c>
      <c r="X14" s="239">
        <f t="shared" si="9"/>
        <v>3.08</v>
      </c>
      <c r="Y14" s="239">
        <f>$P$14</f>
        <v>3.08</v>
      </c>
      <c r="Z14" s="137" t="s">
        <v>152</v>
      </c>
    </row>
    <row r="15" spans="1:27" ht="14.5" x14ac:dyDescent="0.35">
      <c r="A15" s="50" t="s">
        <v>154</v>
      </c>
      <c r="B15" s="50">
        <v>1.5</v>
      </c>
      <c r="C15" s="50" t="s">
        <v>281</v>
      </c>
      <c r="D15" s="50"/>
      <c r="E15" s="55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237">
        <f>P31*P$37</f>
        <v>3.3000000000000003</v>
      </c>
      <c r="Q15" s="237">
        <f>$P$15</f>
        <v>3.3000000000000003</v>
      </c>
      <c r="R15" s="237">
        <f t="shared" ref="R15:X15" si="10">$P$15</f>
        <v>3.3000000000000003</v>
      </c>
      <c r="S15" s="237">
        <f t="shared" si="10"/>
        <v>3.3000000000000003</v>
      </c>
      <c r="T15" s="237">
        <f t="shared" si="10"/>
        <v>3.3000000000000003</v>
      </c>
      <c r="U15" s="237">
        <f t="shared" si="10"/>
        <v>3.3000000000000003</v>
      </c>
      <c r="V15" s="237">
        <f t="shared" si="10"/>
        <v>3.3000000000000003</v>
      </c>
      <c r="W15" s="237">
        <f t="shared" si="10"/>
        <v>3.3000000000000003</v>
      </c>
      <c r="X15" s="237">
        <f t="shared" si="10"/>
        <v>3.3000000000000003</v>
      </c>
      <c r="Y15" s="237">
        <f>$P$15</f>
        <v>3.3000000000000003</v>
      </c>
      <c r="Z15" s="141" t="s">
        <v>16</v>
      </c>
    </row>
    <row r="16" spans="1:27" ht="14.5" x14ac:dyDescent="0.35">
      <c r="A16" s="50" t="s">
        <v>155</v>
      </c>
      <c r="B16" s="50">
        <v>1.6</v>
      </c>
      <c r="C16" s="50" t="s">
        <v>115</v>
      </c>
      <c r="D16" s="50"/>
      <c r="E16" s="55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241">
        <f>P32*P$37</f>
        <v>3.5200000000000005</v>
      </c>
      <c r="Q16" s="241">
        <f>$P$16</f>
        <v>3.5200000000000005</v>
      </c>
      <c r="R16" s="241">
        <f t="shared" ref="R16:X16" si="11">$P$16</f>
        <v>3.5200000000000005</v>
      </c>
      <c r="S16" s="241">
        <f t="shared" si="11"/>
        <v>3.5200000000000005</v>
      </c>
      <c r="T16" s="241">
        <f t="shared" si="11"/>
        <v>3.5200000000000005</v>
      </c>
      <c r="U16" s="241">
        <f t="shared" si="11"/>
        <v>3.5200000000000005</v>
      </c>
      <c r="V16" s="241">
        <f t="shared" si="11"/>
        <v>3.5200000000000005</v>
      </c>
      <c r="W16" s="241">
        <f t="shared" si="11"/>
        <v>3.5200000000000005</v>
      </c>
      <c r="X16" s="241">
        <f t="shared" si="11"/>
        <v>3.5200000000000005</v>
      </c>
      <c r="Y16" s="241">
        <f>$P$16</f>
        <v>3.5200000000000005</v>
      </c>
      <c r="Z16" s="140" t="s">
        <v>58</v>
      </c>
    </row>
    <row r="17" spans="1:27" x14ac:dyDescent="0.3">
      <c r="A17" s="50" t="s">
        <v>49</v>
      </c>
      <c r="B17" s="77">
        <v>0.83</v>
      </c>
      <c r="C17" s="50"/>
      <c r="D17" s="50"/>
      <c r="E17" s="55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</row>
    <row r="18" spans="1:27" ht="27" x14ac:dyDescent="0.3">
      <c r="A18" s="50" t="s">
        <v>195</v>
      </c>
      <c r="C18" s="56" t="s">
        <v>246</v>
      </c>
      <c r="D18" s="50"/>
      <c r="E18" s="55">
        <f>E29*(E$38)</f>
        <v>9.5999999999999992E-3</v>
      </c>
      <c r="F18" s="55">
        <f t="shared" ref="F18:T18" si="12">F29*(F$38)</f>
        <v>3.2399999999999998E-2</v>
      </c>
      <c r="G18" s="55">
        <f t="shared" si="12"/>
        <v>9.9000000000000005E-2</v>
      </c>
      <c r="H18" s="55">
        <f>H29*(H$38)</f>
        <v>0.33600000000000002</v>
      </c>
      <c r="I18" s="69">
        <f t="shared" si="12"/>
        <v>1.1199999999999999</v>
      </c>
      <c r="J18" s="69">
        <f t="shared" si="12"/>
        <v>2.5850000000000004</v>
      </c>
      <c r="K18" s="69">
        <f t="shared" si="12"/>
        <v>4.8100000000000005</v>
      </c>
      <c r="L18" s="69">
        <f t="shared" si="12"/>
        <v>8.3999999999999986</v>
      </c>
      <c r="M18" s="87">
        <f t="shared" si="12"/>
        <v>14.156799999999999</v>
      </c>
      <c r="N18" s="87">
        <f t="shared" si="12"/>
        <v>24.1851232</v>
      </c>
      <c r="O18" s="87">
        <f t="shared" si="12"/>
        <v>39.758664960000004</v>
      </c>
      <c r="P18" s="87">
        <f t="shared" si="12"/>
        <v>61.422719733760005</v>
      </c>
      <c r="Q18" s="87">
        <f>Q29*(Q$38)</f>
        <v>88.22536107212801</v>
      </c>
      <c r="R18" s="87">
        <f t="shared" si="12"/>
        <v>130.68381608808963</v>
      </c>
      <c r="S18" s="87">
        <f t="shared" si="12"/>
        <v>178.94970549662406</v>
      </c>
      <c r="T18" s="87">
        <f t="shared" si="12"/>
        <v>239.24199088702514</v>
      </c>
      <c r="U18" s="87">
        <f>$T$18</f>
        <v>239.24199088702514</v>
      </c>
      <c r="V18" s="87">
        <f>$T$18</f>
        <v>239.24199088702514</v>
      </c>
      <c r="W18" s="87">
        <f>$T$18</f>
        <v>239.24199088702514</v>
      </c>
      <c r="X18" s="87">
        <f>$T$18</f>
        <v>239.24199088702514</v>
      </c>
      <c r="Y18" s="87">
        <f>$T$18</f>
        <v>239.24199088702514</v>
      </c>
      <c r="Z18" s="41" t="s">
        <v>145</v>
      </c>
      <c r="AA18" s="38" t="s">
        <v>165</v>
      </c>
    </row>
    <row r="19" spans="1:27" ht="14.5" x14ac:dyDescent="0.35">
      <c r="C19" s="50" t="s">
        <v>97</v>
      </c>
      <c r="D19" s="50"/>
      <c r="E19" s="55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197">
        <f>P30*(P$38)</f>
        <v>54.207999999999998</v>
      </c>
      <c r="Q19" s="197">
        <f>Q30*(Q$38)</f>
        <v>68.99199999999999</v>
      </c>
      <c r="R19" s="197">
        <f t="shared" ref="R19:T21" si="13">R30*(R$38)</f>
        <v>90.551999999999964</v>
      </c>
      <c r="S19" s="197">
        <f t="shared" si="13"/>
        <v>109.86975999999996</v>
      </c>
      <c r="T19" s="197">
        <f t="shared" si="13"/>
        <v>130.15340799999996</v>
      </c>
      <c r="U19" s="197">
        <f>$T$19</f>
        <v>130.15340799999996</v>
      </c>
      <c r="V19" s="197">
        <f>$T$19</f>
        <v>130.15340799999996</v>
      </c>
      <c r="W19" s="197">
        <f>$T$19</f>
        <v>130.15340799999996</v>
      </c>
      <c r="X19" s="197">
        <f>$T$19</f>
        <v>130.15340799999996</v>
      </c>
      <c r="Y19" s="197">
        <f>$T$19</f>
        <v>130.15340799999996</v>
      </c>
      <c r="Z19" s="137" t="s">
        <v>152</v>
      </c>
    </row>
    <row r="20" spans="1:27" ht="14.5" x14ac:dyDescent="0.35">
      <c r="C20" s="50" t="s">
        <v>281</v>
      </c>
      <c r="D20" s="50"/>
      <c r="E20" s="55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198">
        <f>P31*(P$38)</f>
        <v>58.08</v>
      </c>
      <c r="Q20" s="198">
        <f>Q31*(Q$38)</f>
        <v>79.2</v>
      </c>
      <c r="R20" s="198">
        <f t="shared" si="13"/>
        <v>111.375</v>
      </c>
      <c r="S20" s="198">
        <f t="shared" si="13"/>
        <v>144.78749999999999</v>
      </c>
      <c r="T20" s="198">
        <f t="shared" si="13"/>
        <v>183.76875000000001</v>
      </c>
      <c r="U20" s="198">
        <f>$T$20</f>
        <v>183.76875000000001</v>
      </c>
      <c r="V20" s="198">
        <f>$T$20</f>
        <v>183.76875000000001</v>
      </c>
      <c r="W20" s="198">
        <f>$T$20</f>
        <v>183.76875000000001</v>
      </c>
      <c r="X20" s="198">
        <f>$T$20</f>
        <v>183.76875000000001</v>
      </c>
      <c r="Y20" s="198">
        <f>$T$20</f>
        <v>183.76875000000001</v>
      </c>
      <c r="Z20" s="141" t="s">
        <v>16</v>
      </c>
    </row>
    <row r="21" spans="1:27" ht="14.5" x14ac:dyDescent="0.35">
      <c r="C21" s="50" t="s">
        <v>282</v>
      </c>
      <c r="D21" s="50"/>
      <c r="E21" s="55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99">
        <f>P32*(P$38)</f>
        <v>61.952000000000005</v>
      </c>
      <c r="Q21" s="199">
        <f>Q32*(Q$38)</f>
        <v>90.112000000000023</v>
      </c>
      <c r="R21" s="199">
        <f t="shared" si="13"/>
        <v>135.16800000000003</v>
      </c>
      <c r="S21" s="199">
        <f t="shared" si="13"/>
        <v>187.43296000000007</v>
      </c>
      <c r="T21" s="199">
        <f t="shared" si="13"/>
        <v>253.75539200000009</v>
      </c>
      <c r="U21" s="199">
        <f>$T$21</f>
        <v>253.75539200000009</v>
      </c>
      <c r="V21" s="199">
        <f>$T$21</f>
        <v>253.75539200000009</v>
      </c>
      <c r="W21" s="199">
        <f>$T$21</f>
        <v>253.75539200000009</v>
      </c>
      <c r="X21" s="199">
        <f>$T$21</f>
        <v>253.75539200000009</v>
      </c>
      <c r="Y21" s="199">
        <f>$T$21</f>
        <v>253.75539200000009</v>
      </c>
      <c r="Z21" s="140" t="s">
        <v>58</v>
      </c>
    </row>
    <row r="22" spans="1:27" x14ac:dyDescent="0.3">
      <c r="C22" s="50"/>
      <c r="D22" s="50"/>
      <c r="E22" s="55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</row>
    <row r="23" spans="1:27" x14ac:dyDescent="0.3">
      <c r="C23" s="56" t="s">
        <v>245</v>
      </c>
      <c r="D23" s="50"/>
      <c r="E23" s="55">
        <f t="shared" ref="E23:W23" si="14">E29*E$39</f>
        <v>8.8817841970012525E-18</v>
      </c>
      <c r="F23" s="87">
        <f t="shared" si="14"/>
        <v>-1.6739999999999657E-3</v>
      </c>
      <c r="G23" s="87">
        <f t="shared" si="14"/>
        <v>-4.167000000000046E-4</v>
      </c>
      <c r="H23" s="87">
        <f t="shared" si="14"/>
        <v>-4.5407839999999757E-3</v>
      </c>
      <c r="I23" s="87">
        <f t="shared" si="14"/>
        <v>-9.7208515600000212E-3</v>
      </c>
      <c r="J23" s="87">
        <f t="shared" si="14"/>
        <v>1.2058485106299944E-2</v>
      </c>
      <c r="K23" s="87">
        <f t="shared" si="14"/>
        <v>-8.3404390331422336E-3</v>
      </c>
      <c r="L23" s="87">
        <f t="shared" si="14"/>
        <v>-2.1535058045266807E-2</v>
      </c>
      <c r="M23" s="87">
        <f t="shared" si="14"/>
        <v>3.7097464050588294E-2</v>
      </c>
      <c r="N23" s="87">
        <f t="shared" si="14"/>
        <v>6.515595903595231E-2</v>
      </c>
      <c r="O23" s="55">
        <f>O29*O$39</f>
        <v>0.44176294400000532</v>
      </c>
      <c r="P23" s="87">
        <f>P29*P$39</f>
        <v>3.8389199833599958</v>
      </c>
      <c r="Q23" s="87">
        <f t="shared" si="14"/>
        <v>17.519434833151998</v>
      </c>
      <c r="R23" s="87">
        <f t="shared" si="14"/>
        <v>39.024366594483205</v>
      </c>
      <c r="S23" s="87">
        <f t="shared" si="14"/>
        <v>91.820628294071412</v>
      </c>
      <c r="T23" s="87">
        <f t="shared" si="14"/>
        <v>191.20654165450418</v>
      </c>
      <c r="U23" s="87">
        <f t="shared" si="14"/>
        <v>443.49809568082162</v>
      </c>
      <c r="V23" s="87">
        <f t="shared" si="14"/>
        <v>842.11875104240312</v>
      </c>
      <c r="W23" s="87">
        <f t="shared" si="14"/>
        <v>1471.9393865137019</v>
      </c>
      <c r="X23" s="87">
        <f>X29*X$39</f>
        <v>2467.0559905583546</v>
      </c>
      <c r="Y23" s="87">
        <f>Y29*Y$39</f>
        <v>4039.340224948905</v>
      </c>
      <c r="Z23" s="41" t="s">
        <v>145</v>
      </c>
      <c r="AA23" s="38" t="s">
        <v>166</v>
      </c>
    </row>
    <row r="24" spans="1:27" ht="14.5" x14ac:dyDescent="0.35">
      <c r="C24" s="50" t="s">
        <v>97</v>
      </c>
      <c r="D24" s="50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197">
        <f t="shared" ref="P24:Y24" si="15">P30*P$39</f>
        <v>3.3879999999999959</v>
      </c>
      <c r="Q24" s="197">
        <f t="shared" si="15"/>
        <v>13.70015189873417</v>
      </c>
      <c r="R24" s="197">
        <f t="shared" si="15"/>
        <v>27.040337125460649</v>
      </c>
      <c r="S24" s="197">
        <f t="shared" si="15"/>
        <v>56.375115933952458</v>
      </c>
      <c r="T24" s="197">
        <f t="shared" si="15"/>
        <v>104.02096611869203</v>
      </c>
      <c r="U24" s="197">
        <f t="shared" si="15"/>
        <v>213.78677929504352</v>
      </c>
      <c r="V24" s="197">
        <f t="shared" si="15"/>
        <v>359.69414760826629</v>
      </c>
      <c r="W24" s="197">
        <f t="shared" si="15"/>
        <v>557.08428717896993</v>
      </c>
      <c r="X24" s="197">
        <f t="shared" si="15"/>
        <v>827.33412403685918</v>
      </c>
      <c r="Y24" s="197">
        <f t="shared" si="15"/>
        <v>1200.2820589559203</v>
      </c>
      <c r="Z24" s="137" t="s">
        <v>152</v>
      </c>
    </row>
    <row r="25" spans="1:27" ht="14.5" x14ac:dyDescent="0.35">
      <c r="C25" s="50" t="s">
        <v>98</v>
      </c>
      <c r="D25" s="50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198">
        <f t="shared" ref="P25:Y25" si="16">P31*P$39</f>
        <v>3.6299999999999959</v>
      </c>
      <c r="Q25" s="198">
        <f t="shared" si="16"/>
        <v>15.727215189873414</v>
      </c>
      <c r="R25" s="198">
        <f t="shared" si="16"/>
        <v>33.258432142284882</v>
      </c>
      <c r="S25" s="198">
        <f t="shared" si="16"/>
        <v>74.291707730017293</v>
      </c>
      <c r="T25" s="198">
        <f t="shared" si="16"/>
        <v>146.87132062976326</v>
      </c>
      <c r="U25" s="198">
        <f t="shared" si="16"/>
        <v>323.41501958521832</v>
      </c>
      <c r="V25" s="198">
        <f t="shared" si="16"/>
        <v>583.00990783406803</v>
      </c>
      <c r="W25" s="198">
        <f t="shared" si="16"/>
        <v>967.44591724753298</v>
      </c>
      <c r="X25" s="198">
        <f t="shared" si="16"/>
        <v>1539.394561469177</v>
      </c>
      <c r="Y25" s="198">
        <f t="shared" si="16"/>
        <v>2392.8504044802312</v>
      </c>
      <c r="Z25" s="141" t="s">
        <v>16</v>
      </c>
    </row>
    <row r="26" spans="1:27" ht="14.5" x14ac:dyDescent="0.35">
      <c r="C26" s="50" t="s">
        <v>115</v>
      </c>
      <c r="D26" s="50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199">
        <f>P32*P$39</f>
        <v>3.8719999999999959</v>
      </c>
      <c r="Q26" s="199">
        <f t="shared" ref="Q26:Y26" si="17">Q32*Q$39</f>
        <v>17.894075949367085</v>
      </c>
      <c r="R26" s="199">
        <f t="shared" si="17"/>
        <v>40.363418682903387</v>
      </c>
      <c r="S26" s="199">
        <f t="shared" si="17"/>
        <v>96.173458919395841</v>
      </c>
      <c r="T26" s="199">
        <f t="shared" si="17"/>
        <v>202.80591526014774</v>
      </c>
      <c r="U26" s="199">
        <f t="shared" si="17"/>
        <v>476.35697261787124</v>
      </c>
      <c r="V26" s="199">
        <f>V32*V$39</f>
        <v>915.96103791176836</v>
      </c>
      <c r="W26" s="199">
        <f t="shared" si="17"/>
        <v>1621.2742497455886</v>
      </c>
      <c r="X26" s="199">
        <f t="shared" si="17"/>
        <v>2751.7467379086474</v>
      </c>
      <c r="Y26" s="199">
        <f t="shared" si="17"/>
        <v>4562.4990219861957</v>
      </c>
      <c r="Z26" s="140" t="s">
        <v>58</v>
      </c>
    </row>
    <row r="27" spans="1:27" x14ac:dyDescent="0.3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</row>
    <row r="28" spans="1:27" x14ac:dyDescent="0.3"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</row>
    <row r="29" spans="1:27" s="41" customFormat="1" x14ac:dyDescent="0.3">
      <c r="C29" s="74" t="s">
        <v>244</v>
      </c>
      <c r="D29" s="73"/>
      <c r="E29" s="73">
        <v>0.32</v>
      </c>
      <c r="F29" s="73">
        <v>0.54</v>
      </c>
      <c r="G29" s="75">
        <v>0.9</v>
      </c>
      <c r="H29" s="76">
        <v>1.6</v>
      </c>
      <c r="I29" s="76">
        <v>2.8</v>
      </c>
      <c r="J29" s="111">
        <v>4.7</v>
      </c>
      <c r="K29" s="75">
        <v>7.4</v>
      </c>
      <c r="L29" s="75">
        <v>11.2</v>
      </c>
      <c r="M29" s="41">
        <f>L29*$B$13</f>
        <v>17.695999999999998</v>
      </c>
      <c r="N29" s="112">
        <f>M29*$B$13</f>
        <v>27.959679999999999</v>
      </c>
      <c r="O29" s="112">
        <f>N29*$B$13</f>
        <v>44.176294400000003</v>
      </c>
      <c r="P29" s="112">
        <f>O29*$B$13</f>
        <v>69.798545152000003</v>
      </c>
      <c r="Q29" s="112">
        <f>P29*$B$13</f>
        <v>110.28170134016001</v>
      </c>
      <c r="R29" s="112">
        <f t="shared" ref="R29:W29" si="18">Q29*$B$13</f>
        <v>174.24508811745284</v>
      </c>
      <c r="S29" s="112">
        <f t="shared" si="18"/>
        <v>275.30723922557547</v>
      </c>
      <c r="T29" s="112">
        <f t="shared" si="18"/>
        <v>434.98543797640929</v>
      </c>
      <c r="U29" s="112">
        <f t="shared" si="18"/>
        <v>687.27699200272673</v>
      </c>
      <c r="V29" s="112">
        <f t="shared" si="18"/>
        <v>1085.8976473643083</v>
      </c>
      <c r="W29" s="112">
        <f t="shared" si="18"/>
        <v>1715.7182828356072</v>
      </c>
      <c r="X29" s="112">
        <f>W29*$B$13</f>
        <v>2710.8348868802595</v>
      </c>
      <c r="Y29" s="113">
        <f>X29*$B$13</f>
        <v>4283.11912127081</v>
      </c>
      <c r="Z29" s="41" t="s">
        <v>145</v>
      </c>
      <c r="AA29" s="41" t="s">
        <v>221</v>
      </c>
    </row>
    <row r="30" spans="1:27" s="41" customFormat="1" ht="14.5" x14ac:dyDescent="0.35">
      <c r="C30" s="74"/>
      <c r="D30" s="73"/>
      <c r="E30" s="73"/>
      <c r="F30" s="73"/>
      <c r="G30" s="75"/>
      <c r="H30" s="76"/>
      <c r="I30" s="76"/>
      <c r="J30" s="111"/>
      <c r="K30" s="75"/>
      <c r="L30" s="75"/>
      <c r="N30" s="112"/>
      <c r="O30" s="138">
        <v>44</v>
      </c>
      <c r="P30" s="138">
        <f>O30*$B$14</f>
        <v>61.599999999999994</v>
      </c>
      <c r="Q30" s="138">
        <f t="shared" ref="Q30:X30" si="19">P30*$B$14</f>
        <v>86.239999999999981</v>
      </c>
      <c r="R30" s="138">
        <f t="shared" si="19"/>
        <v>120.73599999999996</v>
      </c>
      <c r="S30" s="138">
        <f t="shared" si="19"/>
        <v>169.03039999999993</v>
      </c>
      <c r="T30" s="138">
        <f t="shared" si="19"/>
        <v>236.64255999999989</v>
      </c>
      <c r="U30" s="138">
        <f t="shared" si="19"/>
        <v>331.29958399999981</v>
      </c>
      <c r="V30" s="138">
        <f t="shared" si="19"/>
        <v>463.81941759999972</v>
      </c>
      <c r="W30" s="138">
        <f t="shared" si="19"/>
        <v>649.34718463999957</v>
      </c>
      <c r="X30" s="138">
        <f t="shared" si="19"/>
        <v>909.08605849599928</v>
      </c>
      <c r="Y30" s="138">
        <f>X30*$B$14</f>
        <v>1272.720481894399</v>
      </c>
      <c r="Z30" s="137" t="s">
        <v>152</v>
      </c>
    </row>
    <row r="31" spans="1:27" s="41" customFormat="1" ht="14.5" x14ac:dyDescent="0.35">
      <c r="C31" s="74"/>
      <c r="D31" s="73"/>
      <c r="E31" s="73"/>
      <c r="F31" s="73"/>
      <c r="G31" s="75"/>
      <c r="H31" s="76"/>
      <c r="I31" s="76"/>
      <c r="J31" s="111"/>
      <c r="K31" s="75"/>
      <c r="L31" s="75"/>
      <c r="N31" s="112"/>
      <c r="O31" s="142">
        <v>44</v>
      </c>
      <c r="P31" s="142">
        <f>O31*$B$15</f>
        <v>66</v>
      </c>
      <c r="Q31" s="142">
        <f t="shared" ref="Q31:Y31" si="20">P31*$B$15</f>
        <v>99</v>
      </c>
      <c r="R31" s="142">
        <f t="shared" si="20"/>
        <v>148.5</v>
      </c>
      <c r="S31" s="142">
        <f t="shared" si="20"/>
        <v>222.75</v>
      </c>
      <c r="T31" s="142">
        <f t="shared" si="20"/>
        <v>334.125</v>
      </c>
      <c r="U31" s="142">
        <f t="shared" si="20"/>
        <v>501.1875</v>
      </c>
      <c r="V31" s="142">
        <f t="shared" si="20"/>
        <v>751.78125</v>
      </c>
      <c r="W31" s="142">
        <f t="shared" si="20"/>
        <v>1127.671875</v>
      </c>
      <c r="X31" s="142">
        <f t="shared" si="20"/>
        <v>1691.5078125</v>
      </c>
      <c r="Y31" s="142">
        <f t="shared" si="20"/>
        <v>2537.26171875</v>
      </c>
      <c r="Z31" s="141" t="s">
        <v>16</v>
      </c>
    </row>
    <row r="32" spans="1:27" s="41" customFormat="1" ht="14.5" x14ac:dyDescent="0.35">
      <c r="C32" s="74"/>
      <c r="D32" s="73"/>
      <c r="E32" s="73"/>
      <c r="F32" s="73"/>
      <c r="G32" s="75"/>
      <c r="H32" s="76"/>
      <c r="I32" s="76"/>
      <c r="J32" s="111"/>
      <c r="K32" s="75"/>
      <c r="L32" s="75"/>
      <c r="N32" s="112"/>
      <c r="O32" s="139">
        <v>44</v>
      </c>
      <c r="P32" s="139">
        <f>O32*$B$16</f>
        <v>70.400000000000006</v>
      </c>
      <c r="Q32" s="139">
        <f t="shared" ref="Q32:X32" si="21">P32*$B$16</f>
        <v>112.64000000000001</v>
      </c>
      <c r="R32" s="139">
        <f t="shared" si="21"/>
        <v>180.22400000000005</v>
      </c>
      <c r="S32" s="139">
        <f t="shared" si="21"/>
        <v>288.35840000000007</v>
      </c>
      <c r="T32" s="139">
        <f t="shared" si="21"/>
        <v>461.37344000000013</v>
      </c>
      <c r="U32" s="139">
        <f t="shared" si="21"/>
        <v>738.19750400000021</v>
      </c>
      <c r="V32" s="139">
        <f t="shared" si="21"/>
        <v>1181.1160064000003</v>
      </c>
      <c r="W32" s="139">
        <f t="shared" si="21"/>
        <v>1889.7856102400006</v>
      </c>
      <c r="X32" s="139">
        <f t="shared" si="21"/>
        <v>3023.6569763840012</v>
      </c>
      <c r="Y32" s="139">
        <f>X32*$B$16</f>
        <v>4837.8511622144024</v>
      </c>
      <c r="Z32" s="140" t="s">
        <v>58</v>
      </c>
    </row>
    <row r="33" spans="1:27" s="41" customFormat="1" ht="14.5" x14ac:dyDescent="0.35">
      <c r="C33" s="74"/>
      <c r="D33" s="73"/>
      <c r="E33" s="73"/>
      <c r="F33" s="73"/>
      <c r="G33" s="75"/>
      <c r="H33" s="76"/>
      <c r="I33" s="76"/>
      <c r="J33" s="111"/>
      <c r="K33" s="75"/>
      <c r="L33" s="75"/>
      <c r="N33" s="112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4"/>
    </row>
    <row r="34" spans="1:27" s="41" customFormat="1" ht="14.5" x14ac:dyDescent="0.35">
      <c r="C34" s="74"/>
      <c r="D34" s="73"/>
      <c r="E34" s="73"/>
      <c r="F34" s="73"/>
      <c r="G34" s="75"/>
      <c r="H34" s="76"/>
      <c r="I34" s="76"/>
      <c r="J34" s="111"/>
      <c r="K34" s="75"/>
      <c r="L34" s="75"/>
      <c r="N34" s="112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4"/>
    </row>
    <row r="35" spans="1:27" x14ac:dyDescent="0.3">
      <c r="C35" s="127" t="s">
        <v>136</v>
      </c>
      <c r="E35" s="70">
        <v>2010</v>
      </c>
      <c r="F35" s="70">
        <v>2011</v>
      </c>
      <c r="G35" s="70">
        <v>2012</v>
      </c>
      <c r="H35" s="70">
        <v>2013</v>
      </c>
      <c r="I35" s="70">
        <v>2014</v>
      </c>
      <c r="J35" s="70">
        <v>2015</v>
      </c>
      <c r="K35" s="70">
        <v>2016</v>
      </c>
      <c r="L35" s="70">
        <v>2017</v>
      </c>
      <c r="M35" s="70">
        <v>2018</v>
      </c>
      <c r="N35" s="70">
        <v>2019</v>
      </c>
      <c r="O35" s="70">
        <v>2020</v>
      </c>
      <c r="P35" s="119">
        <v>2021</v>
      </c>
      <c r="Q35" s="119">
        <v>2022</v>
      </c>
      <c r="R35" s="119">
        <v>2023</v>
      </c>
      <c r="S35" s="119">
        <v>2024</v>
      </c>
      <c r="T35" s="119">
        <v>2025</v>
      </c>
      <c r="U35" s="119">
        <v>2026</v>
      </c>
      <c r="V35" s="119">
        <v>2027</v>
      </c>
      <c r="W35" s="119">
        <v>2028</v>
      </c>
      <c r="X35" s="119">
        <v>2029</v>
      </c>
      <c r="Y35" s="119">
        <v>2030</v>
      </c>
    </row>
    <row r="36" spans="1:27" x14ac:dyDescent="0.3">
      <c r="A36" s="50"/>
      <c r="B36" s="77"/>
      <c r="C36" s="38" t="s">
        <v>137</v>
      </c>
      <c r="E36" s="115">
        <v>0.47</v>
      </c>
      <c r="F36" s="115">
        <f>E36*0.73</f>
        <v>0.34309999999999996</v>
      </c>
      <c r="G36" s="115">
        <f t="shared" ref="G36:N36" si="22">F36*0.73</f>
        <v>0.25046299999999999</v>
      </c>
      <c r="H36" s="115">
        <f t="shared" si="22"/>
        <v>0.18283798999999998</v>
      </c>
      <c r="I36" s="115">
        <f t="shared" si="22"/>
        <v>0.13347173269999998</v>
      </c>
      <c r="J36" s="115">
        <f t="shared" si="22"/>
        <v>9.743436487099999E-2</v>
      </c>
      <c r="K36" s="268">
        <f t="shared" si="22"/>
        <v>7.1127086355829997E-2</v>
      </c>
      <c r="L36" s="268">
        <f t="shared" si="22"/>
        <v>5.1922773039755898E-2</v>
      </c>
      <c r="M36" s="268">
        <f t="shared" si="22"/>
        <v>3.7903624319021806E-2</v>
      </c>
      <c r="N36" s="268">
        <f t="shared" si="22"/>
        <v>2.7669645752885916E-2</v>
      </c>
      <c r="O36" s="268">
        <v>1.99999999999999E-2</v>
      </c>
      <c r="P36" s="268">
        <v>1.4999999999999999E-2</v>
      </c>
      <c r="Q36" s="268">
        <f>Q8/Q29</f>
        <v>9.4936708860759479E-3</v>
      </c>
      <c r="R36" s="268">
        <f t="shared" ref="R36:Y36" si="23">R8/R29</f>
        <v>6.0086524595417386E-3</v>
      </c>
      <c r="S36" s="268">
        <f t="shared" si="23"/>
        <v>3.8029445946466704E-3</v>
      </c>
      <c r="T36" s="268">
        <f t="shared" si="23"/>
        <v>2.406926958637133E-3</v>
      </c>
      <c r="U36" s="268">
        <f t="shared" si="23"/>
        <v>1.5233714928083119E-3</v>
      </c>
      <c r="V36" s="268">
        <f t="shared" si="23"/>
        <v>9.6415917266348835E-4</v>
      </c>
      <c r="W36" s="268">
        <f t="shared" si="23"/>
        <v>6.1022732447056226E-4</v>
      </c>
      <c r="X36" s="268">
        <f t="shared" si="23"/>
        <v>3.8621982561427989E-4</v>
      </c>
      <c r="Y36" s="269">
        <f t="shared" si="23"/>
        <v>2.4444292760397463E-4</v>
      </c>
      <c r="Z36" s="38" t="s">
        <v>163</v>
      </c>
    </row>
    <row r="37" spans="1:27" x14ac:dyDescent="0.3">
      <c r="A37" s="50"/>
      <c r="B37" s="77"/>
      <c r="C37" s="50" t="s">
        <v>138</v>
      </c>
      <c r="D37" s="50"/>
      <c r="E37" s="114">
        <v>0.5</v>
      </c>
      <c r="F37" s="114">
        <v>0.6</v>
      </c>
      <c r="G37" s="114">
        <v>0.64</v>
      </c>
      <c r="H37" s="114">
        <v>0.61</v>
      </c>
      <c r="I37" s="114">
        <v>0.47</v>
      </c>
      <c r="J37" s="114">
        <v>0.35</v>
      </c>
      <c r="K37" s="114">
        <f>J37*0.8</f>
        <v>0.27999999999999997</v>
      </c>
      <c r="L37" s="114">
        <v>0.2</v>
      </c>
      <c r="M37" s="114">
        <f>L37*0.8</f>
        <v>0.16000000000000003</v>
      </c>
      <c r="N37" s="114">
        <v>0.105</v>
      </c>
      <c r="O37" s="114">
        <v>7.0000000000000007E-2</v>
      </c>
      <c r="P37" s="275">
        <v>0.05</v>
      </c>
      <c r="Q37" s="276">
        <f>Q13/Q29</f>
        <v>3.164556962025316E-2</v>
      </c>
      <c r="R37" s="276">
        <f t="shared" ref="R37:X37" si="24">R13/R29</f>
        <v>2.0028841531805796E-2</v>
      </c>
      <c r="S37" s="276">
        <f t="shared" si="24"/>
        <v>1.2676481982155569E-2</v>
      </c>
      <c r="T37" s="276">
        <f t="shared" si="24"/>
        <v>8.0230898621237775E-3</v>
      </c>
      <c r="U37" s="276">
        <f>U13/U29</f>
        <v>5.077904976027706E-3</v>
      </c>
      <c r="V37" s="276">
        <f t="shared" si="24"/>
        <v>3.2138639088782951E-3</v>
      </c>
      <c r="W37" s="276">
        <f t="shared" si="24"/>
        <v>2.034091081568541E-3</v>
      </c>
      <c r="X37" s="276">
        <f t="shared" si="24"/>
        <v>1.2873994187142664E-3</v>
      </c>
      <c r="Y37" s="276">
        <f>Y13/Y29</f>
        <v>8.1480975867991544E-4</v>
      </c>
      <c r="Z37" s="38" t="s">
        <v>164</v>
      </c>
    </row>
    <row r="38" spans="1:27" x14ac:dyDescent="0.3">
      <c r="A38" s="50"/>
      <c r="B38" s="77"/>
      <c r="C38" s="50" t="s">
        <v>139</v>
      </c>
      <c r="D38" s="50"/>
      <c r="E38" s="114">
        <v>0.03</v>
      </c>
      <c r="F38" s="114">
        <v>0.06</v>
      </c>
      <c r="G38" s="114">
        <v>0.11</v>
      </c>
      <c r="H38" s="115">
        <v>0.21</v>
      </c>
      <c r="I38" s="274">
        <v>0.4</v>
      </c>
      <c r="J38" s="114">
        <v>0.55000000000000004</v>
      </c>
      <c r="K38" s="114">
        <v>0.65</v>
      </c>
      <c r="L38" s="115">
        <v>0.75</v>
      </c>
      <c r="M38" s="115">
        <v>0.8</v>
      </c>
      <c r="N38" s="115">
        <v>0.86499999999999999</v>
      </c>
      <c r="O38" s="115">
        <v>0.9</v>
      </c>
      <c r="P38" s="115">
        <v>0.88</v>
      </c>
      <c r="Q38" s="115">
        <v>0.8</v>
      </c>
      <c r="R38" s="115">
        <v>0.75</v>
      </c>
      <c r="S38" s="115">
        <v>0.65</v>
      </c>
      <c r="T38" s="115">
        <v>0.55000000000000004</v>
      </c>
      <c r="U38" s="115">
        <f>U18/U29</f>
        <v>0.34810126582278483</v>
      </c>
      <c r="V38" s="115">
        <f>V18/V29</f>
        <v>0.22031725684986378</v>
      </c>
      <c r="W38" s="115">
        <f>W18/W29</f>
        <v>0.13944130180371125</v>
      </c>
      <c r="X38" s="115">
        <f>X18/X29</f>
        <v>8.8253988483361551E-2</v>
      </c>
      <c r="Y38" s="115">
        <f>Y18/Y29</f>
        <v>5.5856954736304781E-2</v>
      </c>
      <c r="Z38" s="38" t="s">
        <v>165</v>
      </c>
    </row>
    <row r="39" spans="1:27" x14ac:dyDescent="0.3">
      <c r="A39" s="50"/>
      <c r="B39" s="77"/>
      <c r="C39" s="50" t="s">
        <v>140</v>
      </c>
      <c r="D39" s="50"/>
      <c r="E39" s="114">
        <f>1-E36-E37-E38</f>
        <v>2.7755575615628914E-17</v>
      </c>
      <c r="F39" s="114">
        <f t="shared" ref="F39:X39" si="25">1-F36-F37-F38</f>
        <v>-3.0999999999999361E-3</v>
      </c>
      <c r="G39" s="114">
        <f t="shared" si="25"/>
        <v>-4.6300000000000507E-4</v>
      </c>
      <c r="H39" s="114">
        <f t="shared" si="25"/>
        <v>-2.8379899999999847E-3</v>
      </c>
      <c r="I39" s="114">
        <f t="shared" si="25"/>
        <v>-3.4717327000000076E-3</v>
      </c>
      <c r="J39" s="114">
        <f t="shared" si="25"/>
        <v>2.5656351289999879E-3</v>
      </c>
      <c r="K39" s="114">
        <f t="shared" si="25"/>
        <v>-1.1270863558300315E-3</v>
      </c>
      <c r="L39" s="114">
        <f>1-L36-L37-L38</f>
        <v>-1.922773039755965E-3</v>
      </c>
      <c r="M39" s="114">
        <f t="shared" si="25"/>
        <v>2.0963756809780909E-3</v>
      </c>
      <c r="N39" s="275">
        <f>1-N36-N37-N38</f>
        <v>2.3303542471141414E-3</v>
      </c>
      <c r="O39" s="275">
        <f>1-O36-O37-O38</f>
        <v>1.000000000000012E-2</v>
      </c>
      <c r="P39" s="275">
        <f>1-P36-P37-P38</f>
        <v>5.4999999999999938E-2</v>
      </c>
      <c r="Q39" s="114">
        <f t="shared" si="25"/>
        <v>0.15886075949367084</v>
      </c>
      <c r="R39" s="114">
        <f t="shared" si="25"/>
        <v>0.22396250600865242</v>
      </c>
      <c r="S39" s="114">
        <f t="shared" si="25"/>
        <v>0.33352057342319774</v>
      </c>
      <c r="T39" s="114">
        <f t="shared" si="25"/>
        <v>0.43956998317923912</v>
      </c>
      <c r="U39" s="114">
        <f t="shared" si="25"/>
        <v>0.64529745770837921</v>
      </c>
      <c r="V39" s="114">
        <f t="shared" si="25"/>
        <v>0.77550472006859439</v>
      </c>
      <c r="W39" s="114">
        <f t="shared" si="25"/>
        <v>0.85791437979024965</v>
      </c>
      <c r="X39" s="114">
        <f t="shared" si="25"/>
        <v>0.91007239227230996</v>
      </c>
      <c r="Y39" s="114">
        <f>1-Y36-Y37-Y38</f>
        <v>0.94308379257741137</v>
      </c>
      <c r="Z39" s="38" t="s">
        <v>166</v>
      </c>
    </row>
    <row r="40" spans="1:27" x14ac:dyDescent="0.3">
      <c r="A40" s="50"/>
      <c r="B40" s="77"/>
      <c r="C40" s="56"/>
      <c r="D40" s="50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</row>
    <row r="41" spans="1:27" x14ac:dyDescent="0.3">
      <c r="A41" s="50"/>
      <c r="B41" s="77"/>
      <c r="C41" s="56" t="s">
        <v>134</v>
      </c>
      <c r="D41" s="50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</row>
    <row r="42" spans="1:27" x14ac:dyDescent="0.3">
      <c r="A42" s="50"/>
      <c r="B42" s="77"/>
      <c r="C42" s="56"/>
      <c r="D42" s="50"/>
      <c r="E42" s="70">
        <v>2010</v>
      </c>
      <c r="F42" s="70">
        <v>2011</v>
      </c>
      <c r="G42" s="70">
        <v>2012</v>
      </c>
      <c r="H42" s="70">
        <v>2013</v>
      </c>
      <c r="I42" s="70">
        <v>2014</v>
      </c>
      <c r="J42" s="70">
        <v>2015</v>
      </c>
      <c r="K42" s="70">
        <v>2016</v>
      </c>
      <c r="L42" s="70">
        <v>2017</v>
      </c>
      <c r="M42" s="70">
        <v>2018</v>
      </c>
      <c r="N42" s="70">
        <v>2019</v>
      </c>
      <c r="O42" s="70">
        <v>2020</v>
      </c>
      <c r="P42" s="119">
        <v>2021</v>
      </c>
      <c r="Q42" s="119">
        <v>2022</v>
      </c>
      <c r="R42" s="119">
        <v>2023</v>
      </c>
      <c r="S42" s="119">
        <v>2024</v>
      </c>
      <c r="T42" s="119">
        <v>2025</v>
      </c>
      <c r="U42" s="119">
        <v>2026</v>
      </c>
      <c r="V42" s="119">
        <v>2027</v>
      </c>
      <c r="W42" s="119">
        <v>2028</v>
      </c>
      <c r="X42" s="119">
        <v>2029</v>
      </c>
      <c r="Y42" s="119">
        <v>2030</v>
      </c>
    </row>
    <row r="43" spans="1:27" x14ac:dyDescent="0.3">
      <c r="A43" s="50"/>
      <c r="B43" s="77"/>
      <c r="C43" s="50" t="s">
        <v>135</v>
      </c>
      <c r="D43" s="50"/>
      <c r="E43" s="114">
        <f>E6/SUM(E6:E23)</f>
        <v>0.83</v>
      </c>
      <c r="F43" s="114">
        <f>F6/SUM(F6:F23)</f>
        <v>0.74314493564633455</v>
      </c>
      <c r="G43" s="114">
        <f t="shared" ref="G43:N43" si="26">G6/SUM(G6:G23)</f>
        <v>0.63449593884376476</v>
      </c>
      <c r="H43" s="114">
        <f>H6/SUM(H6:H23)</f>
        <v>0.49404761904761896</v>
      </c>
      <c r="I43" s="114">
        <f>I6/SUM(I6:I23)</f>
        <v>0.35814455231930958</v>
      </c>
      <c r="J43" s="114">
        <f t="shared" si="26"/>
        <v>0.24948337403719703</v>
      </c>
      <c r="K43" s="114">
        <f t="shared" si="26"/>
        <v>0.1743239695458125</v>
      </c>
      <c r="L43" s="114">
        <f t="shared" si="26"/>
        <v>0.12241887905604719</v>
      </c>
      <c r="M43" s="114">
        <f t="shared" si="26"/>
        <v>8.1125989639331431E-2</v>
      </c>
      <c r="N43" s="114">
        <f t="shared" si="26"/>
        <v>5.2921590606226372E-2</v>
      </c>
      <c r="O43" s="114">
        <f>O6/SUM(O6:O23)</f>
        <v>3.4158267285922847E-2</v>
      </c>
      <c r="P43" s="114">
        <f>P6/(P6+P8+P13+P18+P23)</f>
        <v>2.189368383700124E-2</v>
      </c>
      <c r="Q43" s="114">
        <f t="shared" ref="Q43:X43" si="27">Q6/(Q6+Q8+Q13+Q18+Q23)</f>
        <v>1.3969029924885169E-2</v>
      </c>
      <c r="R43" s="114">
        <f t="shared" si="27"/>
        <v>8.8867281826566571E-3</v>
      </c>
      <c r="S43" s="114">
        <f t="shared" si="27"/>
        <v>5.6429199355178825E-3</v>
      </c>
      <c r="T43" s="114">
        <f t="shared" si="27"/>
        <v>3.5788817941159188E-3</v>
      </c>
      <c r="U43" s="114">
        <f t="shared" si="27"/>
        <v>2.2680948070753753E-3</v>
      </c>
      <c r="V43" s="114">
        <f t="shared" si="27"/>
        <v>1.4366992263969071E-3</v>
      </c>
      <c r="W43" s="114">
        <f t="shared" si="27"/>
        <v>9.0978312375237711E-4</v>
      </c>
      <c r="X43" s="114">
        <f t="shared" si="27"/>
        <v>5.7600447244199522E-4</v>
      </c>
      <c r="Y43" s="114">
        <f>Y6/(Y6+Y8+Y13+Y18+Y23)</f>
        <v>3.6463689321592077E-4</v>
      </c>
      <c r="Z43" s="38" t="s">
        <v>167</v>
      </c>
    </row>
    <row r="44" spans="1:27" x14ac:dyDescent="0.3">
      <c r="A44" s="50"/>
      <c r="B44" s="77"/>
      <c r="C44" s="38" t="s">
        <v>137</v>
      </c>
      <c r="D44" s="50"/>
      <c r="E44" s="114">
        <f>E8/SUM(E6:E23)</f>
        <v>7.9900000000000013E-2</v>
      </c>
      <c r="F44" s="114">
        <f t="shared" ref="F44:O44" si="28">F8/SUM(F6:F23)</f>
        <v>8.8126972579742599E-2</v>
      </c>
      <c r="G44" s="114">
        <f t="shared" si="28"/>
        <v>9.1545243669374096E-2</v>
      </c>
      <c r="H44" s="114">
        <f>H8/SUM(H6:H23)</f>
        <v>9.2507316369047618E-2</v>
      </c>
      <c r="I44" s="114">
        <f>I8/SUM(I6:I23)</f>
        <v>8.5669558744875945E-2</v>
      </c>
      <c r="J44" s="114">
        <f t="shared" si="28"/>
        <v>7.3126110775811576E-2</v>
      </c>
      <c r="K44" s="114">
        <f t="shared" si="28"/>
        <v>5.8727930320053905E-2</v>
      </c>
      <c r="L44" s="114">
        <f t="shared" si="28"/>
        <v>4.5566445366747442E-2</v>
      </c>
      <c r="M44" s="114">
        <f t="shared" si="28"/>
        <v>3.4828655285223734E-2</v>
      </c>
      <c r="N44" s="114">
        <f t="shared" si="28"/>
        <v>2.6205324088132375E-2</v>
      </c>
      <c r="O44" s="114">
        <f t="shared" si="28"/>
        <v>1.9316834654281446E-2</v>
      </c>
      <c r="P44" s="114">
        <f>P8/(P6+P8+P13+P18+P23)</f>
        <v>1.467159474244498E-2</v>
      </c>
      <c r="Q44" s="114">
        <f t="shared" ref="Q44:Y44" si="29">Q8/(Q6+Q8+Q13+Q18+Q23)</f>
        <v>9.3610535133713431E-3</v>
      </c>
      <c r="R44" s="114">
        <f t="shared" si="29"/>
        <v>5.95525519838974E-3</v>
      </c>
      <c r="S44" s="114">
        <f t="shared" si="29"/>
        <v>3.7814848827798686E-3</v>
      </c>
      <c r="T44" s="114">
        <f t="shared" si="29"/>
        <v>2.3983128515650998E-3</v>
      </c>
      <c r="U44" s="114">
        <f t="shared" si="29"/>
        <v>1.5199163418362265E-3</v>
      </c>
      <c r="V44" s="114">
        <f t="shared" si="29"/>
        <v>9.6277396592599933E-4</v>
      </c>
      <c r="W44" s="114">
        <f t="shared" si="29"/>
        <v>6.0967214994910642E-4</v>
      </c>
      <c r="X44" s="114">
        <f t="shared" si="29"/>
        <v>3.8599736126738028E-4</v>
      </c>
      <c r="Y44" s="114">
        <f t="shared" si="29"/>
        <v>2.443537946942845E-4</v>
      </c>
      <c r="Z44" s="38" t="s">
        <v>163</v>
      </c>
    </row>
    <row r="45" spans="1:27" x14ac:dyDescent="0.3">
      <c r="A45" s="50"/>
      <c r="B45" s="77"/>
      <c r="C45" s="50" t="s">
        <v>138</v>
      </c>
      <c r="D45" s="50"/>
      <c r="E45" s="114">
        <f>E13/SUM(E6:E23)</f>
        <v>8.5000000000000006E-2</v>
      </c>
      <c r="F45" s="114">
        <f t="shared" ref="F45:O45" si="30">F13/SUM(F6:F23)</f>
        <v>0.15411303861219924</v>
      </c>
      <c r="G45" s="114">
        <f t="shared" si="30"/>
        <v>0.23392259913999047</v>
      </c>
      <c r="H45" s="114">
        <f>H13/SUM(H6:H23)</f>
        <v>0.30863095238095239</v>
      </c>
      <c r="I45" s="114">
        <f t="shared" si="30"/>
        <v>0.3016720604099245</v>
      </c>
      <c r="J45" s="114">
        <f t="shared" si="30"/>
        <v>0.26268081908698104</v>
      </c>
      <c r="K45" s="114">
        <f t="shared" si="30"/>
        <v>0.23118928852717249</v>
      </c>
      <c r="L45" s="114">
        <f t="shared" si="30"/>
        <v>0.17551622418879056</v>
      </c>
      <c r="M45" s="114">
        <f t="shared" si="30"/>
        <v>0.14701984165770698</v>
      </c>
      <c r="N45" s="114">
        <f t="shared" si="30"/>
        <v>9.9443232986346219E-2</v>
      </c>
      <c r="O45" s="114">
        <f t="shared" si="30"/>
        <v>6.7608921289985413E-2</v>
      </c>
      <c r="P45" s="114">
        <f>P13/(P6+P8+P13+P18+P23)</f>
        <v>4.8905315808149941E-2</v>
      </c>
      <c r="Q45" s="114">
        <f t="shared" ref="Q45:Y45" si="31">Q13/(Q6+Q8+Q13+Q18+Q23)</f>
        <v>3.1203511711237815E-2</v>
      </c>
      <c r="R45" s="114">
        <f t="shared" si="31"/>
        <v>1.9850850661299133E-2</v>
      </c>
      <c r="S45" s="114">
        <f t="shared" si="31"/>
        <v>1.260494960926623E-2</v>
      </c>
      <c r="T45" s="114">
        <f t="shared" si="31"/>
        <v>7.9943761718836662E-3</v>
      </c>
      <c r="U45" s="114">
        <f t="shared" si="31"/>
        <v>5.0663878061207555E-3</v>
      </c>
      <c r="V45" s="114">
        <f t="shared" si="31"/>
        <v>3.2092465530866648E-3</v>
      </c>
      <c r="W45" s="114">
        <f t="shared" si="31"/>
        <v>2.0322404998303549E-3</v>
      </c>
      <c r="X45" s="114">
        <f t="shared" si="31"/>
        <v>1.2866578708912678E-3</v>
      </c>
      <c r="Y45" s="114">
        <f t="shared" si="31"/>
        <v>8.1451264898094828E-4</v>
      </c>
      <c r="Z45" s="38" t="s">
        <v>164</v>
      </c>
    </row>
    <row r="46" spans="1:27" x14ac:dyDescent="0.3">
      <c r="A46" s="50"/>
      <c r="B46" s="77"/>
      <c r="C46" s="50" t="s">
        <v>139</v>
      </c>
      <c r="D46" s="50"/>
      <c r="E46" s="114">
        <f>E18/SUM(E6:E23)</f>
        <v>5.1000000000000004E-3</v>
      </c>
      <c r="F46" s="114">
        <f t="shared" ref="F46:O46" si="32">F18/SUM(F6:F23)</f>
        <v>1.5411303861219923E-2</v>
      </c>
      <c r="G46" s="114">
        <f t="shared" si="32"/>
        <v>4.0205446727185859E-2</v>
      </c>
      <c r="H46" s="114">
        <f>H18/SUM(H6:H23)</f>
        <v>0.10625000000000001</v>
      </c>
      <c r="I46" s="114">
        <f>I18/SUM(I6:I23)</f>
        <v>0.2567421790722762</v>
      </c>
      <c r="J46" s="114">
        <f t="shared" si="32"/>
        <v>0.41278414427954174</v>
      </c>
      <c r="K46" s="114">
        <f t="shared" si="32"/>
        <v>0.53668941979522189</v>
      </c>
      <c r="L46" s="114">
        <f t="shared" si="32"/>
        <v>0.6581858407079646</v>
      </c>
      <c r="M46" s="114">
        <f t="shared" si="32"/>
        <v>0.73509920828853481</v>
      </c>
      <c r="N46" s="114">
        <f t="shared" si="32"/>
        <v>0.81922282412561409</v>
      </c>
      <c r="O46" s="114">
        <f t="shared" si="32"/>
        <v>0.86925755944266947</v>
      </c>
      <c r="P46" s="114">
        <f>P18/(P6+P8+P13+P18+P23)</f>
        <v>0.86073355822343889</v>
      </c>
      <c r="Q46" s="114">
        <f t="shared" ref="Q46:Y46" si="33">Q18/(Q6+Q8+Q13+Q18+Q23)</f>
        <v>0.78882477606009194</v>
      </c>
      <c r="R46" s="114">
        <f t="shared" si="33"/>
        <v>0.74333495386300752</v>
      </c>
      <c r="S46" s="114">
        <f t="shared" si="33"/>
        <v>0.64633210204191338</v>
      </c>
      <c r="T46" s="114">
        <f t="shared" si="33"/>
        <v>0.54803161501323627</v>
      </c>
      <c r="U46" s="114">
        <f t="shared" si="33"/>
        <v>0.34731173914943575</v>
      </c>
      <c r="V46" s="114">
        <f t="shared" si="33"/>
        <v>0.22000072721738573</v>
      </c>
      <c r="W46" s="114">
        <f t="shared" si="33"/>
        <v>0.1393144404605762</v>
      </c>
      <c r="X46" s="114">
        <f t="shared" si="33"/>
        <v>8.8203153791284294E-2</v>
      </c>
      <c r="Y46" s="114">
        <f t="shared" si="33"/>
        <v>5.5836587229865224E-2</v>
      </c>
      <c r="Z46" s="38" t="s">
        <v>165</v>
      </c>
    </row>
    <row r="47" spans="1:27" x14ac:dyDescent="0.3">
      <c r="A47" s="50"/>
      <c r="B47" s="77"/>
      <c r="C47" s="50" t="s">
        <v>140</v>
      </c>
      <c r="D47" s="50"/>
      <c r="E47" s="114">
        <f>E23/SUM(E6:E23)</f>
        <v>4.7184478546569156E-18</v>
      </c>
      <c r="F47" s="114">
        <f t="shared" ref="F47:O47" si="34">F23/SUM(F6:F23)</f>
        <v>-7.9625069949634635E-4</v>
      </c>
      <c r="G47" s="114">
        <f t="shared" si="34"/>
        <v>-1.6922838031533871E-4</v>
      </c>
      <c r="H47" s="114">
        <f t="shared" si="34"/>
        <v>-1.4358877976190401E-3</v>
      </c>
      <c r="I47" s="114">
        <f t="shared" si="34"/>
        <v>-2.2283505463861972E-3</v>
      </c>
      <c r="J47" s="114">
        <f t="shared" si="34"/>
        <v>1.9255518204687118E-3</v>
      </c>
      <c r="K47" s="114">
        <f t="shared" si="34"/>
        <v>-9.306081882608162E-4</v>
      </c>
      <c r="L47" s="114">
        <f t="shared" si="34"/>
        <v>-1.6873893195498515E-3</v>
      </c>
      <c r="M47" s="114">
        <f t="shared" si="34"/>
        <v>1.9263051292029161E-3</v>
      </c>
      <c r="N47" s="114">
        <f>N23/SUM(N6:N23)</f>
        <v>2.2070281936808853E-3</v>
      </c>
      <c r="O47" s="114">
        <f t="shared" si="34"/>
        <v>9.6584173271408863E-3</v>
      </c>
      <c r="P47" s="114">
        <f>P23/(P6+P8+P13+P18+P23)</f>
        <v>5.3795847388964868E-2</v>
      </c>
      <c r="Q47" s="114">
        <f t="shared" ref="Q47:Y47" si="35">Q23/(Q6+Q8+Q13+Q18+Q23)</f>
        <v>0.15664162879041379</v>
      </c>
      <c r="R47" s="114">
        <f t="shared" si="35"/>
        <v>0.22197221209464693</v>
      </c>
      <c r="S47" s="114">
        <f t="shared" si="35"/>
        <v>0.33163854353052263</v>
      </c>
      <c r="T47" s="114">
        <f t="shared" si="35"/>
        <v>0.43799681416919906</v>
      </c>
      <c r="U47" s="114">
        <f t="shared" si="35"/>
        <v>0.64383386189553182</v>
      </c>
      <c r="V47" s="114">
        <f t="shared" si="35"/>
        <v>0.77439055303720472</v>
      </c>
      <c r="W47" s="114">
        <f t="shared" si="35"/>
        <v>0.85713386376589196</v>
      </c>
      <c r="X47" s="114">
        <f t="shared" si="35"/>
        <v>0.90954818650411517</v>
      </c>
      <c r="Y47" s="114">
        <f t="shared" si="35"/>
        <v>0.94273990943324359</v>
      </c>
      <c r="Z47" s="38" t="s">
        <v>166</v>
      </c>
    </row>
    <row r="48" spans="1:27" x14ac:dyDescent="0.3">
      <c r="A48" s="50"/>
      <c r="B48" s="77"/>
      <c r="C48" s="56"/>
      <c r="D48" s="52"/>
      <c r="E48" s="50"/>
      <c r="F48" s="50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spans="1:27" x14ac:dyDescent="0.3">
      <c r="A49" s="50"/>
      <c r="B49" s="77"/>
      <c r="C49" s="56"/>
      <c r="D49" s="52"/>
      <c r="E49" s="50"/>
      <c r="F49" s="50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</row>
    <row r="50" spans="1:27" x14ac:dyDescent="0.3">
      <c r="A50" s="50"/>
      <c r="B50" s="77"/>
    </row>
    <row r="51" spans="1:27" x14ac:dyDescent="0.3">
      <c r="A51" s="50"/>
      <c r="B51" s="77"/>
      <c r="C51" s="56"/>
      <c r="D51" s="52"/>
      <c r="E51" s="50"/>
      <c r="F51" s="50"/>
      <c r="G51" s="114"/>
      <c r="H51" s="114"/>
      <c r="I51" s="114"/>
      <c r="J51" s="114"/>
      <c r="K51" s="114"/>
      <c r="L51" s="114"/>
      <c r="M51" s="114"/>
      <c r="N51" s="114"/>
      <c r="O51" s="115"/>
      <c r="P51" s="115"/>
      <c r="Q51" s="114"/>
      <c r="R51" s="114"/>
      <c r="S51" s="114"/>
      <c r="T51" s="115"/>
      <c r="U51" s="115"/>
      <c r="V51" s="114"/>
      <c r="W51" s="114"/>
      <c r="X51" s="115"/>
      <c r="Y51" s="115"/>
      <c r="Z51" s="115"/>
      <c r="AA51" s="115"/>
    </row>
    <row r="52" spans="1:27" x14ac:dyDescent="0.3">
      <c r="A52" s="50"/>
      <c r="B52" s="77"/>
      <c r="C52" s="56"/>
      <c r="D52" s="52"/>
      <c r="E52" s="50"/>
      <c r="F52" s="50"/>
      <c r="G52" s="114"/>
      <c r="H52" s="114"/>
      <c r="I52" s="114"/>
      <c r="J52" s="115"/>
      <c r="K52" s="115"/>
      <c r="L52" s="114"/>
      <c r="M52" s="114"/>
      <c r="N52" s="115"/>
      <c r="O52" s="115"/>
      <c r="P52" s="115"/>
      <c r="Q52" s="114"/>
      <c r="R52" s="114"/>
      <c r="S52" s="114"/>
      <c r="T52" s="115"/>
      <c r="U52" s="115"/>
      <c r="V52" s="114"/>
      <c r="W52" s="114"/>
      <c r="X52" s="115"/>
      <c r="Y52" s="115"/>
      <c r="Z52" s="115"/>
      <c r="AA52" s="115"/>
    </row>
    <row r="53" spans="1:27" x14ac:dyDescent="0.3">
      <c r="A53" s="50"/>
      <c r="B53" s="77"/>
      <c r="C53" s="56"/>
      <c r="D53" s="52"/>
      <c r="E53" s="50"/>
      <c r="F53" s="50"/>
      <c r="G53" s="114"/>
      <c r="H53" s="114"/>
      <c r="I53" s="114"/>
      <c r="J53" s="115"/>
      <c r="K53" s="115"/>
      <c r="L53" s="114"/>
      <c r="M53" s="114"/>
      <c r="N53" s="115"/>
      <c r="O53" s="115"/>
      <c r="P53" s="115"/>
      <c r="Q53" s="114"/>
      <c r="R53" s="114"/>
      <c r="S53" s="114"/>
      <c r="T53" s="115"/>
      <c r="U53" s="115"/>
      <c r="V53" s="114"/>
      <c r="W53" s="114"/>
      <c r="X53" s="115"/>
      <c r="Y53" s="115"/>
      <c r="Z53" s="115"/>
      <c r="AA53" s="115"/>
    </row>
    <row r="54" spans="1:27" x14ac:dyDescent="0.3">
      <c r="A54" s="50"/>
      <c r="B54" s="77"/>
      <c r="C54" s="56"/>
      <c r="D54" s="52"/>
      <c r="E54" s="50"/>
      <c r="F54" s="70">
        <v>2010</v>
      </c>
      <c r="G54" s="70">
        <v>2011</v>
      </c>
      <c r="H54" s="70">
        <v>2012</v>
      </c>
      <c r="I54" s="70">
        <v>2013</v>
      </c>
      <c r="J54" s="70">
        <v>2014</v>
      </c>
      <c r="K54" s="70">
        <v>2015</v>
      </c>
      <c r="L54" s="70">
        <v>2016</v>
      </c>
      <c r="M54" s="70">
        <v>2017</v>
      </c>
      <c r="N54" s="70">
        <v>2018</v>
      </c>
      <c r="O54" s="70">
        <v>2019</v>
      </c>
      <c r="P54" s="70">
        <v>2020</v>
      </c>
      <c r="Q54" s="119">
        <v>2021</v>
      </c>
      <c r="R54" s="119">
        <v>2022</v>
      </c>
      <c r="S54" s="119">
        <v>2023</v>
      </c>
      <c r="T54" s="119">
        <v>2024</v>
      </c>
      <c r="U54" s="119">
        <v>2025</v>
      </c>
      <c r="V54" s="119">
        <v>2026</v>
      </c>
      <c r="W54" s="119">
        <v>2027</v>
      </c>
      <c r="X54" s="119">
        <v>2028</v>
      </c>
      <c r="Y54" s="119">
        <v>2029</v>
      </c>
      <c r="Z54" s="119">
        <v>2030</v>
      </c>
    </row>
    <row r="55" spans="1:27" x14ac:dyDescent="0.3">
      <c r="A55" s="38" t="s">
        <v>42</v>
      </c>
      <c r="C55" s="56" t="s">
        <v>250</v>
      </c>
      <c r="D55" s="78" t="s">
        <v>41</v>
      </c>
      <c r="E55" s="50"/>
      <c r="F55" s="132">
        <f>E6*12</f>
        <v>18.748235294117642</v>
      </c>
      <c r="G55" s="132">
        <f t="shared" ref="G55:P55" si="36">F6*12</f>
        <v>18.748235294117642</v>
      </c>
      <c r="H55" s="132">
        <f t="shared" si="36"/>
        <v>18.748235294117642</v>
      </c>
      <c r="I55" s="132">
        <f t="shared" si="36"/>
        <v>18.748235294117642</v>
      </c>
      <c r="J55" s="132">
        <f t="shared" si="36"/>
        <v>18.748235294117642</v>
      </c>
      <c r="K55" s="132">
        <f>J6*12</f>
        <v>18.748235294117642</v>
      </c>
      <c r="L55" s="132">
        <f t="shared" si="36"/>
        <v>18.748235294117642</v>
      </c>
      <c r="M55" s="132">
        <f>L6*12</f>
        <v>18.748235294117642</v>
      </c>
      <c r="N55" s="132">
        <f t="shared" si="36"/>
        <v>18.748235294117642</v>
      </c>
      <c r="O55" s="132">
        <f>N6*12</f>
        <v>18.748235294117642</v>
      </c>
      <c r="P55" s="132">
        <f t="shared" si="36"/>
        <v>18.748235294117642</v>
      </c>
      <c r="Q55" s="132">
        <f t="shared" ref="Q55:Y55" si="37">P6*12</f>
        <v>18.748235294117642</v>
      </c>
      <c r="R55" s="132">
        <f t="shared" si="37"/>
        <v>18.748235294117642</v>
      </c>
      <c r="S55" s="132">
        <f t="shared" si="37"/>
        <v>18.748235294117642</v>
      </c>
      <c r="T55" s="132">
        <f t="shared" si="37"/>
        <v>18.748235294117642</v>
      </c>
      <c r="U55" s="132">
        <f t="shared" si="37"/>
        <v>18.748235294117642</v>
      </c>
      <c r="V55" s="132">
        <f t="shared" si="37"/>
        <v>18.748235294117642</v>
      </c>
      <c r="W55" s="132">
        <f t="shared" si="37"/>
        <v>18.748235294117642</v>
      </c>
      <c r="X55" s="132">
        <f t="shared" si="37"/>
        <v>18.748235294117642</v>
      </c>
      <c r="Y55" s="132">
        <f t="shared" si="37"/>
        <v>18.748235294117642</v>
      </c>
      <c r="Z55" s="132">
        <f>Y6*12</f>
        <v>18.748235294117642</v>
      </c>
      <c r="AA55" s="56" t="s">
        <v>46</v>
      </c>
    </row>
    <row r="56" spans="1:27" x14ac:dyDescent="0.3">
      <c r="C56" s="56"/>
      <c r="D56" s="78"/>
      <c r="E56" s="50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56"/>
    </row>
    <row r="57" spans="1:27" x14ac:dyDescent="0.3">
      <c r="A57" s="38" t="s">
        <v>42</v>
      </c>
      <c r="C57" s="56" t="s">
        <v>251</v>
      </c>
      <c r="D57" s="78" t="s">
        <v>41</v>
      </c>
      <c r="E57" s="50"/>
      <c r="F57" s="132">
        <f>E8*12</f>
        <v>1.8048000000000002</v>
      </c>
      <c r="G57" s="132">
        <f>F8*12</f>
        <v>2.2232880000000002</v>
      </c>
      <c r="H57" s="132">
        <f>G8*12</f>
        <v>2.7050003999999999</v>
      </c>
      <c r="I57" s="132">
        <f t="shared" ref="I57:N57" si="38">H8*12</f>
        <v>3.5104894079999998</v>
      </c>
      <c r="J57" s="132">
        <f>I8*12</f>
        <v>4.4846502187199997</v>
      </c>
      <c r="K57" s="132">
        <f>J8*12</f>
        <v>5.4952981787243997</v>
      </c>
      <c r="L57" s="132">
        <f t="shared" si="38"/>
        <v>6.3160852683977033</v>
      </c>
      <c r="M57" s="132">
        <f t="shared" si="38"/>
        <v>6.9784206965431927</v>
      </c>
      <c r="N57" s="132">
        <f t="shared" si="38"/>
        <v>8.0489104313929172</v>
      </c>
      <c r="O57" s="132">
        <f>N8*12</f>
        <v>9.2836132915685923</v>
      </c>
      <c r="P57" s="132">
        <f>O8*12</f>
        <v>10.602310655999947</v>
      </c>
      <c r="Q57" s="132">
        <f>P8*12</f>
        <v>12.563738127360001</v>
      </c>
      <c r="R57" s="132">
        <f t="shared" ref="R57:Z57" si="39">Q8*12</f>
        <v>12.563738127360001</v>
      </c>
      <c r="S57" s="132">
        <f t="shared" si="39"/>
        <v>12.563738127360001</v>
      </c>
      <c r="T57" s="132">
        <f t="shared" si="39"/>
        <v>12.563738127360001</v>
      </c>
      <c r="U57" s="132">
        <f t="shared" si="39"/>
        <v>12.563738127360001</v>
      </c>
      <c r="V57" s="132">
        <f t="shared" si="39"/>
        <v>12.563738127360001</v>
      </c>
      <c r="W57" s="132">
        <f t="shared" si="39"/>
        <v>12.563738127360001</v>
      </c>
      <c r="X57" s="132">
        <f t="shared" si="39"/>
        <v>12.563738127360001</v>
      </c>
      <c r="Y57" s="132">
        <f t="shared" si="39"/>
        <v>12.563738127360001</v>
      </c>
      <c r="Z57" s="132">
        <f t="shared" si="39"/>
        <v>12.563738127360001</v>
      </c>
      <c r="AA57" s="56" t="s">
        <v>121</v>
      </c>
    </row>
    <row r="58" spans="1:27" ht="14.5" x14ac:dyDescent="0.35">
      <c r="C58" s="73" t="s">
        <v>57</v>
      </c>
      <c r="D58" s="78"/>
      <c r="E58" s="50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97">
        <f t="shared" ref="Q58:Z58" si="40">P9*12</f>
        <v>11.087999999999999</v>
      </c>
      <c r="R58" s="197">
        <f t="shared" si="40"/>
        <v>11.087999999999999</v>
      </c>
      <c r="S58" s="197">
        <f t="shared" si="40"/>
        <v>11.087999999999999</v>
      </c>
      <c r="T58" s="197">
        <f t="shared" si="40"/>
        <v>11.087999999999999</v>
      </c>
      <c r="U58" s="197">
        <f t="shared" si="40"/>
        <v>11.087999999999999</v>
      </c>
      <c r="V58" s="197">
        <f t="shared" si="40"/>
        <v>11.087999999999999</v>
      </c>
      <c r="W58" s="197">
        <f t="shared" si="40"/>
        <v>11.087999999999999</v>
      </c>
      <c r="X58" s="197">
        <f t="shared" si="40"/>
        <v>11.087999999999999</v>
      </c>
      <c r="Y58" s="197">
        <f t="shared" si="40"/>
        <v>11.087999999999999</v>
      </c>
      <c r="Z58" s="197">
        <f t="shared" si="40"/>
        <v>11.087999999999999</v>
      </c>
      <c r="AA58" s="56"/>
    </row>
    <row r="59" spans="1:27" ht="14.5" x14ac:dyDescent="0.35">
      <c r="C59" s="73" t="s">
        <v>16</v>
      </c>
      <c r="D59" s="78"/>
      <c r="E59" s="50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98">
        <f t="shared" ref="Q59:Z59" si="41">P10*12</f>
        <v>11.879999999999999</v>
      </c>
      <c r="R59" s="198">
        <f t="shared" si="41"/>
        <v>11.879999999999999</v>
      </c>
      <c r="S59" s="198">
        <f t="shared" si="41"/>
        <v>11.879999999999999</v>
      </c>
      <c r="T59" s="198">
        <f t="shared" si="41"/>
        <v>11.879999999999999</v>
      </c>
      <c r="U59" s="198">
        <f>T10*12</f>
        <v>11.879999999999999</v>
      </c>
      <c r="V59" s="198">
        <f t="shared" si="41"/>
        <v>11.879999999999999</v>
      </c>
      <c r="W59" s="198">
        <f t="shared" si="41"/>
        <v>11.879999999999999</v>
      </c>
      <c r="X59" s="198">
        <f t="shared" si="41"/>
        <v>11.879999999999999</v>
      </c>
      <c r="Y59" s="198">
        <f t="shared" si="41"/>
        <v>11.879999999999999</v>
      </c>
      <c r="Z59" s="198">
        <f t="shared" si="41"/>
        <v>11.879999999999999</v>
      </c>
      <c r="AA59" s="56"/>
    </row>
    <row r="60" spans="1:27" ht="14.5" x14ac:dyDescent="0.35">
      <c r="C60" s="73" t="s">
        <v>58</v>
      </c>
      <c r="D60" s="78"/>
      <c r="E60" s="50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99">
        <f t="shared" ref="Q60:Z60" si="42">P11*12</f>
        <v>12.672000000000001</v>
      </c>
      <c r="R60" s="199">
        <f t="shared" si="42"/>
        <v>12.672000000000001</v>
      </c>
      <c r="S60" s="199">
        <f t="shared" si="42"/>
        <v>12.672000000000001</v>
      </c>
      <c r="T60" s="199">
        <f t="shared" si="42"/>
        <v>12.672000000000001</v>
      </c>
      <c r="U60" s="199">
        <f t="shared" si="42"/>
        <v>12.672000000000001</v>
      </c>
      <c r="V60" s="199">
        <f t="shared" si="42"/>
        <v>12.672000000000001</v>
      </c>
      <c r="W60" s="199">
        <f t="shared" si="42"/>
        <v>12.672000000000001</v>
      </c>
      <c r="X60" s="199">
        <f t="shared" si="42"/>
        <v>12.672000000000001</v>
      </c>
      <c r="Y60" s="199">
        <f t="shared" si="42"/>
        <v>12.672000000000001</v>
      </c>
      <c r="Z60" s="199">
        <f t="shared" si="42"/>
        <v>12.672000000000001</v>
      </c>
      <c r="AA60" s="56"/>
    </row>
    <row r="61" spans="1:27" x14ac:dyDescent="0.3">
      <c r="C61" s="73"/>
      <c r="D61" s="78"/>
      <c r="E61" s="50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56"/>
    </row>
    <row r="62" spans="1:27" x14ac:dyDescent="0.3">
      <c r="C62" s="56" t="s">
        <v>252</v>
      </c>
      <c r="D62" s="78" t="s">
        <v>41</v>
      </c>
      <c r="E62" s="50"/>
      <c r="F62" s="132">
        <f>E13*12</f>
        <v>1.92</v>
      </c>
      <c r="G62" s="132">
        <f>F13*12</f>
        <v>3.8879999999999999</v>
      </c>
      <c r="H62" s="132">
        <f t="shared" ref="H62:Z62" si="43">G13*12</f>
        <v>6.9120000000000008</v>
      </c>
      <c r="I62" s="132">
        <f t="shared" si="43"/>
        <v>11.712</v>
      </c>
      <c r="J62" s="132">
        <f t="shared" si="43"/>
        <v>15.791999999999998</v>
      </c>
      <c r="K62" s="132">
        <f t="shared" si="43"/>
        <v>19.740000000000002</v>
      </c>
      <c r="L62" s="132">
        <f t="shared" si="43"/>
        <v>24.864000000000001</v>
      </c>
      <c r="M62" s="132">
        <f t="shared" si="43"/>
        <v>26.879999999999995</v>
      </c>
      <c r="N62" s="132">
        <f t="shared" si="43"/>
        <v>33.976320000000001</v>
      </c>
      <c r="O62" s="132">
        <f>N13*12</f>
        <v>35.229196799999997</v>
      </c>
      <c r="P62" s="132">
        <f t="shared" si="43"/>
        <v>37.108087296000008</v>
      </c>
      <c r="Q62" s="132">
        <f>P13*12</f>
        <v>41.879127091200004</v>
      </c>
      <c r="R62" s="132">
        <f t="shared" si="43"/>
        <v>41.879127091200004</v>
      </c>
      <c r="S62" s="132">
        <f t="shared" si="43"/>
        <v>41.879127091200004</v>
      </c>
      <c r="T62" s="132">
        <f t="shared" si="43"/>
        <v>41.879127091200004</v>
      </c>
      <c r="U62" s="132">
        <f t="shared" si="43"/>
        <v>41.879127091200004</v>
      </c>
      <c r="V62" s="132">
        <f t="shared" si="43"/>
        <v>41.879127091200004</v>
      </c>
      <c r="W62" s="132">
        <f t="shared" si="43"/>
        <v>41.879127091200004</v>
      </c>
      <c r="X62" s="132">
        <f t="shared" si="43"/>
        <v>41.879127091200004</v>
      </c>
      <c r="Y62" s="132">
        <f t="shared" si="43"/>
        <v>41.879127091200004</v>
      </c>
      <c r="Z62" s="132">
        <f t="shared" si="43"/>
        <v>41.879127091200004</v>
      </c>
      <c r="AA62" s="56" t="s">
        <v>120</v>
      </c>
    </row>
    <row r="63" spans="1:27" ht="14.5" x14ac:dyDescent="0.35">
      <c r="C63" s="73" t="s">
        <v>57</v>
      </c>
      <c r="D63" s="78"/>
      <c r="E63" s="50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97">
        <f t="shared" ref="Q63:Z65" si="44">P14*12</f>
        <v>36.96</v>
      </c>
      <c r="R63" s="197">
        <f t="shared" si="44"/>
        <v>36.96</v>
      </c>
      <c r="S63" s="197">
        <f t="shared" si="44"/>
        <v>36.96</v>
      </c>
      <c r="T63" s="197">
        <f t="shared" si="44"/>
        <v>36.96</v>
      </c>
      <c r="U63" s="197">
        <f t="shared" si="44"/>
        <v>36.96</v>
      </c>
      <c r="V63" s="197">
        <f t="shared" si="44"/>
        <v>36.96</v>
      </c>
      <c r="W63" s="197">
        <f t="shared" si="44"/>
        <v>36.96</v>
      </c>
      <c r="X63" s="197">
        <f t="shared" si="44"/>
        <v>36.96</v>
      </c>
      <c r="Y63" s="197">
        <f t="shared" si="44"/>
        <v>36.96</v>
      </c>
      <c r="Z63" s="197">
        <f t="shared" si="44"/>
        <v>36.96</v>
      </c>
      <c r="AA63" s="56"/>
    </row>
    <row r="64" spans="1:27" ht="14.5" x14ac:dyDescent="0.35">
      <c r="C64" s="73" t="s">
        <v>16</v>
      </c>
      <c r="D64" s="78"/>
      <c r="E64" s="50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98">
        <f t="shared" si="44"/>
        <v>39.6</v>
      </c>
      <c r="R64" s="198">
        <f t="shared" si="44"/>
        <v>39.6</v>
      </c>
      <c r="S64" s="198">
        <f t="shared" si="44"/>
        <v>39.6</v>
      </c>
      <c r="T64" s="198">
        <f t="shared" si="44"/>
        <v>39.6</v>
      </c>
      <c r="U64" s="198">
        <f t="shared" si="44"/>
        <v>39.6</v>
      </c>
      <c r="V64" s="198">
        <f t="shared" si="44"/>
        <v>39.6</v>
      </c>
      <c r="W64" s="198">
        <f t="shared" si="44"/>
        <v>39.6</v>
      </c>
      <c r="X64" s="198">
        <f t="shared" si="44"/>
        <v>39.6</v>
      </c>
      <c r="Y64" s="198">
        <f t="shared" si="44"/>
        <v>39.6</v>
      </c>
      <c r="Z64" s="198">
        <f t="shared" si="44"/>
        <v>39.6</v>
      </c>
      <c r="AA64" s="56"/>
    </row>
    <row r="65" spans="1:31" ht="14.5" x14ac:dyDescent="0.35">
      <c r="C65" s="73" t="s">
        <v>58</v>
      </c>
      <c r="D65" s="78"/>
      <c r="E65" s="50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99">
        <f t="shared" si="44"/>
        <v>42.240000000000009</v>
      </c>
      <c r="R65" s="199">
        <f t="shared" si="44"/>
        <v>42.240000000000009</v>
      </c>
      <c r="S65" s="199">
        <f t="shared" si="44"/>
        <v>42.240000000000009</v>
      </c>
      <c r="T65" s="199">
        <f t="shared" si="44"/>
        <v>42.240000000000009</v>
      </c>
      <c r="U65" s="199">
        <f t="shared" si="44"/>
        <v>42.240000000000009</v>
      </c>
      <c r="V65" s="199">
        <f t="shared" si="44"/>
        <v>42.240000000000009</v>
      </c>
      <c r="W65" s="199">
        <f t="shared" si="44"/>
        <v>42.240000000000009</v>
      </c>
      <c r="X65" s="199">
        <f t="shared" si="44"/>
        <v>42.240000000000009</v>
      </c>
      <c r="Y65" s="199">
        <f t="shared" si="44"/>
        <v>42.240000000000009</v>
      </c>
      <c r="Z65" s="199">
        <f>Y16*12</f>
        <v>42.240000000000009</v>
      </c>
      <c r="AA65" s="56"/>
    </row>
    <row r="66" spans="1:31" x14ac:dyDescent="0.3">
      <c r="C66" s="73"/>
      <c r="D66" s="78"/>
      <c r="E66" s="50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56"/>
    </row>
    <row r="67" spans="1:31" x14ac:dyDescent="0.3">
      <c r="A67" s="38" t="s">
        <v>42</v>
      </c>
      <c r="C67" s="56" t="s">
        <v>253</v>
      </c>
      <c r="D67" s="78" t="s">
        <v>41</v>
      </c>
      <c r="E67" s="50"/>
      <c r="F67" s="132">
        <f>E18*12</f>
        <v>0.1152</v>
      </c>
      <c r="G67" s="132">
        <f t="shared" ref="G67:O67" si="45">F18*12</f>
        <v>0.38879999999999998</v>
      </c>
      <c r="H67" s="132">
        <f t="shared" si="45"/>
        <v>1.1880000000000002</v>
      </c>
      <c r="I67" s="132">
        <f t="shared" si="45"/>
        <v>4.032</v>
      </c>
      <c r="J67" s="132">
        <f t="shared" si="45"/>
        <v>13.439999999999998</v>
      </c>
      <c r="K67" s="132">
        <f>J18*12</f>
        <v>31.020000000000003</v>
      </c>
      <c r="L67" s="132">
        <f t="shared" si="45"/>
        <v>57.720000000000006</v>
      </c>
      <c r="M67" s="132">
        <f t="shared" si="45"/>
        <v>100.79999999999998</v>
      </c>
      <c r="N67" s="132">
        <f t="shared" si="45"/>
        <v>169.88159999999999</v>
      </c>
      <c r="O67" s="132">
        <f t="shared" si="45"/>
        <v>290.22147840000002</v>
      </c>
      <c r="P67" s="132">
        <f>O18*12</f>
        <v>477.10397952000005</v>
      </c>
      <c r="Q67" s="132">
        <f t="shared" ref="Q67:Z67" si="46">P18*12</f>
        <v>737.07263680512006</v>
      </c>
      <c r="R67" s="132">
        <f t="shared" si="46"/>
        <v>1058.7043328655361</v>
      </c>
      <c r="S67" s="132">
        <f t="shared" si="46"/>
        <v>1568.2057930570754</v>
      </c>
      <c r="T67" s="132">
        <f t="shared" si="46"/>
        <v>2147.3964659594885</v>
      </c>
      <c r="U67" s="132">
        <f t="shared" si="46"/>
        <v>2870.9038906443016</v>
      </c>
      <c r="V67" s="132">
        <f t="shared" si="46"/>
        <v>2870.9038906443016</v>
      </c>
      <c r="W67" s="132">
        <f t="shared" si="46"/>
        <v>2870.9038906443016</v>
      </c>
      <c r="X67" s="132">
        <f t="shared" si="46"/>
        <v>2870.9038906443016</v>
      </c>
      <c r="Y67" s="132">
        <f t="shared" si="46"/>
        <v>2870.9038906443016</v>
      </c>
      <c r="Z67" s="132">
        <f t="shared" si="46"/>
        <v>2870.9038906443016</v>
      </c>
      <c r="AA67" s="56" t="s">
        <v>59</v>
      </c>
    </row>
    <row r="68" spans="1:31" ht="14.5" x14ac:dyDescent="0.35">
      <c r="C68" s="73" t="s">
        <v>57</v>
      </c>
      <c r="D68" s="78"/>
      <c r="E68" s="50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97">
        <f>P19*12</f>
        <v>650.49599999999998</v>
      </c>
      <c r="R68" s="197">
        <f t="shared" ref="R68:Z68" si="47">Q19*12</f>
        <v>827.90399999999988</v>
      </c>
      <c r="S68" s="197">
        <f t="shared" si="47"/>
        <v>1086.6239999999996</v>
      </c>
      <c r="T68" s="197">
        <f t="shared" si="47"/>
        <v>1318.4371199999996</v>
      </c>
      <c r="U68" s="197">
        <f t="shared" si="47"/>
        <v>1561.8408959999995</v>
      </c>
      <c r="V68" s="197">
        <f t="shared" si="47"/>
        <v>1561.8408959999995</v>
      </c>
      <c r="W68" s="197">
        <f t="shared" si="47"/>
        <v>1561.8408959999995</v>
      </c>
      <c r="X68" s="197">
        <f t="shared" si="47"/>
        <v>1561.8408959999995</v>
      </c>
      <c r="Y68" s="197">
        <f t="shared" si="47"/>
        <v>1561.8408959999995</v>
      </c>
      <c r="Z68" s="197">
        <f t="shared" si="47"/>
        <v>1561.8408959999995</v>
      </c>
      <c r="AA68" s="56"/>
    </row>
    <row r="69" spans="1:31" ht="14.5" x14ac:dyDescent="0.35">
      <c r="C69" s="73" t="s">
        <v>16</v>
      </c>
      <c r="D69" s="78"/>
      <c r="E69" s="50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98">
        <f>P20*12</f>
        <v>696.96</v>
      </c>
      <c r="R69" s="198">
        <f t="shared" ref="R69:Z69" si="48">Q20*12</f>
        <v>950.40000000000009</v>
      </c>
      <c r="S69" s="198">
        <f t="shared" si="48"/>
        <v>1336.5</v>
      </c>
      <c r="T69" s="198">
        <f t="shared" si="48"/>
        <v>1737.4499999999998</v>
      </c>
      <c r="U69" s="198">
        <f t="shared" si="48"/>
        <v>2205.2250000000004</v>
      </c>
      <c r="V69" s="198">
        <f>U20*12</f>
        <v>2205.2250000000004</v>
      </c>
      <c r="W69" s="198">
        <f t="shared" si="48"/>
        <v>2205.2250000000004</v>
      </c>
      <c r="X69" s="198">
        <f t="shared" si="48"/>
        <v>2205.2250000000004</v>
      </c>
      <c r="Y69" s="198">
        <f t="shared" si="48"/>
        <v>2205.2250000000004</v>
      </c>
      <c r="Z69" s="198">
        <f t="shared" si="48"/>
        <v>2205.2250000000004</v>
      </c>
      <c r="AA69" s="56"/>
    </row>
    <row r="70" spans="1:31" ht="14.5" x14ac:dyDescent="0.35">
      <c r="C70" s="73" t="s">
        <v>58</v>
      </c>
      <c r="D70" s="78"/>
      <c r="E70" s="50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99">
        <f t="shared" ref="Q70:Z70" si="49">P21*12</f>
        <v>743.42400000000009</v>
      </c>
      <c r="R70" s="199">
        <f t="shared" si="49"/>
        <v>1081.3440000000003</v>
      </c>
      <c r="S70" s="199">
        <f t="shared" si="49"/>
        <v>1622.0160000000005</v>
      </c>
      <c r="T70" s="199">
        <f t="shared" si="49"/>
        <v>2249.1955200000007</v>
      </c>
      <c r="U70" s="199">
        <f t="shared" si="49"/>
        <v>3045.0647040000013</v>
      </c>
      <c r="V70" s="199">
        <f t="shared" si="49"/>
        <v>3045.0647040000013</v>
      </c>
      <c r="W70" s="199">
        <f t="shared" si="49"/>
        <v>3045.0647040000013</v>
      </c>
      <c r="X70" s="199">
        <f t="shared" si="49"/>
        <v>3045.0647040000013</v>
      </c>
      <c r="Y70" s="199">
        <f t="shared" si="49"/>
        <v>3045.0647040000013</v>
      </c>
      <c r="Z70" s="199">
        <f t="shared" si="49"/>
        <v>3045.0647040000013</v>
      </c>
      <c r="AA70" s="56"/>
    </row>
    <row r="71" spans="1:31" x14ac:dyDescent="0.3">
      <c r="C71" s="73"/>
      <c r="D71" s="78"/>
      <c r="E71" s="50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56"/>
    </row>
    <row r="72" spans="1:31" x14ac:dyDescent="0.3">
      <c r="A72" s="50"/>
      <c r="C72" s="56" t="s">
        <v>254</v>
      </c>
      <c r="D72" s="78" t="s">
        <v>41</v>
      </c>
      <c r="E72" s="50"/>
      <c r="F72" s="87">
        <f t="shared" ref="F72:X72" si="50">E23*12</f>
        <v>1.0658141036401502E-16</v>
      </c>
      <c r="G72" s="87">
        <f t="shared" si="50"/>
        <v>-2.0087999999999589E-2</v>
      </c>
      <c r="H72" s="87">
        <f t="shared" si="50"/>
        <v>-5.000400000000055E-3</v>
      </c>
      <c r="I72" s="87">
        <f t="shared" si="50"/>
        <v>-5.4489407999999712E-2</v>
      </c>
      <c r="J72" s="87">
        <f t="shared" si="50"/>
        <v>-0.11665021872000025</v>
      </c>
      <c r="K72" s="87">
        <f t="shared" si="50"/>
        <v>0.14470182127559933</v>
      </c>
      <c r="L72" s="87">
        <f t="shared" si="50"/>
        <v>-0.1000852683977068</v>
      </c>
      <c r="M72" s="87">
        <f t="shared" si="50"/>
        <v>-0.25842069654320166</v>
      </c>
      <c r="N72" s="87">
        <f t="shared" si="50"/>
        <v>0.44516956860705953</v>
      </c>
      <c r="O72" s="87">
        <f t="shared" si="50"/>
        <v>0.78187150843142772</v>
      </c>
      <c r="P72" s="87">
        <f t="shared" si="50"/>
        <v>5.3011553280000641</v>
      </c>
      <c r="Q72" s="87">
        <f t="shared" si="50"/>
        <v>46.067039800319947</v>
      </c>
      <c r="R72" s="87">
        <f t="shared" si="50"/>
        <v>210.23321799782397</v>
      </c>
      <c r="S72" s="87">
        <f t="shared" si="50"/>
        <v>468.29239913379843</v>
      </c>
      <c r="T72" s="87">
        <f t="shared" si="50"/>
        <v>1101.8475395288569</v>
      </c>
      <c r="U72" s="87">
        <f t="shared" si="50"/>
        <v>2294.4784998540499</v>
      </c>
      <c r="V72" s="87">
        <f t="shared" si="50"/>
        <v>5321.977148169859</v>
      </c>
      <c r="W72" s="87">
        <f t="shared" si="50"/>
        <v>10105.425012508837</v>
      </c>
      <c r="X72" s="87">
        <f t="shared" si="50"/>
        <v>17663.272638164424</v>
      </c>
      <c r="Y72" s="87">
        <f>X23*12</f>
        <v>29604.671886700256</v>
      </c>
      <c r="Z72" s="87">
        <f>Y23*12</f>
        <v>48472.082699386861</v>
      </c>
      <c r="AA72" s="56" t="s">
        <v>60</v>
      </c>
    </row>
    <row r="73" spans="1:31" ht="14.5" x14ac:dyDescent="0.35">
      <c r="A73" s="50"/>
      <c r="C73" s="73" t="s">
        <v>57</v>
      </c>
      <c r="D73" s="50"/>
      <c r="E73" s="50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197">
        <f t="shared" ref="Q73:Y73" si="51">P24*12</f>
        <v>40.655999999999949</v>
      </c>
      <c r="R73" s="197">
        <f t="shared" si="51"/>
        <v>164.40182278481004</v>
      </c>
      <c r="S73" s="197">
        <f t="shared" si="51"/>
        <v>324.48404550552777</v>
      </c>
      <c r="T73" s="197">
        <f t="shared" si="51"/>
        <v>676.50139120742949</v>
      </c>
      <c r="U73" s="197">
        <f t="shared" si="51"/>
        <v>1248.2515934243042</v>
      </c>
      <c r="V73" s="197">
        <f t="shared" si="51"/>
        <v>2565.4413515405222</v>
      </c>
      <c r="W73" s="197">
        <f t="shared" si="51"/>
        <v>4316.3297712991953</v>
      </c>
      <c r="X73" s="197">
        <f t="shared" si="51"/>
        <v>6685.0114461476387</v>
      </c>
      <c r="Y73" s="197">
        <f t="shared" si="51"/>
        <v>9928.0094884423106</v>
      </c>
      <c r="Z73" s="197">
        <f>Y24*12</f>
        <v>14403.384707471043</v>
      </c>
      <c r="AA73" s="56"/>
    </row>
    <row r="74" spans="1:31" ht="14.5" x14ac:dyDescent="0.35">
      <c r="A74" s="50"/>
      <c r="C74" s="73" t="s">
        <v>16</v>
      </c>
      <c r="D74" s="50"/>
      <c r="E74" s="50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198">
        <f t="shared" ref="Q74:Y74" si="52">P25*12</f>
        <v>43.559999999999953</v>
      </c>
      <c r="R74" s="198">
        <f t="shared" si="52"/>
        <v>188.72658227848098</v>
      </c>
      <c r="S74" s="198">
        <f t="shared" si="52"/>
        <v>399.10118570741861</v>
      </c>
      <c r="T74" s="198">
        <f t="shared" si="52"/>
        <v>891.50049276020752</v>
      </c>
      <c r="U74" s="198">
        <f t="shared" si="52"/>
        <v>1762.4558475571591</v>
      </c>
      <c r="V74" s="198">
        <f t="shared" si="52"/>
        <v>3880.98023502262</v>
      </c>
      <c r="W74" s="198">
        <f t="shared" si="52"/>
        <v>6996.1188940088159</v>
      </c>
      <c r="X74" s="198">
        <f t="shared" si="52"/>
        <v>11609.351006970395</v>
      </c>
      <c r="Y74" s="198">
        <f t="shared" si="52"/>
        <v>18472.734737630126</v>
      </c>
      <c r="Z74" s="198">
        <f>Y25*12</f>
        <v>28714.204853762774</v>
      </c>
      <c r="AA74" s="56"/>
    </row>
    <row r="75" spans="1:31" ht="14.5" x14ac:dyDescent="0.35">
      <c r="A75" s="50"/>
      <c r="C75" s="73" t="s">
        <v>58</v>
      </c>
      <c r="D75" s="50"/>
      <c r="E75" s="50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199">
        <f>P26*12</f>
        <v>46.463999999999949</v>
      </c>
      <c r="R75" s="199">
        <f t="shared" ref="R75:Y75" si="53">Q26*12</f>
        <v>214.72891139240502</v>
      </c>
      <c r="S75" s="199">
        <f t="shared" si="53"/>
        <v>484.36102419484064</v>
      </c>
      <c r="T75" s="199">
        <f t="shared" si="53"/>
        <v>1154.0815070327501</v>
      </c>
      <c r="U75" s="199">
        <f t="shared" si="53"/>
        <v>2433.6709831217731</v>
      </c>
      <c r="V75" s="199">
        <f t="shared" si="53"/>
        <v>5716.2836714144551</v>
      </c>
      <c r="W75" s="199">
        <f t="shared" si="53"/>
        <v>10991.53245494122</v>
      </c>
      <c r="X75" s="199">
        <f t="shared" si="53"/>
        <v>19455.290996947064</v>
      </c>
      <c r="Y75" s="199">
        <f t="shared" si="53"/>
        <v>33020.960854903766</v>
      </c>
      <c r="Z75" s="199">
        <f>Y26*12</f>
        <v>54749.988263834348</v>
      </c>
      <c r="AA75" s="56"/>
    </row>
    <row r="76" spans="1:31" x14ac:dyDescent="0.3">
      <c r="A76" s="50"/>
      <c r="C76" s="56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38" t="s">
        <v>168</v>
      </c>
      <c r="AB76" s="89">
        <f>Z77/2^10</f>
        <v>15.656271326919102</v>
      </c>
      <c r="AC76" s="38" t="s">
        <v>144</v>
      </c>
    </row>
    <row r="77" spans="1:31" ht="14.5" x14ac:dyDescent="0.35">
      <c r="A77" s="50"/>
      <c r="D77" s="50"/>
      <c r="E77" s="50"/>
      <c r="F77" s="87">
        <f>SUM(F55:F72)</f>
        <v>22.588235294117645</v>
      </c>
      <c r="G77" s="87">
        <f t="shared" ref="G77:O77" si="54">SUM(G55:G72)</f>
        <v>25.228235294117642</v>
      </c>
      <c r="H77" s="87">
        <f t="shared" si="54"/>
        <v>29.548235294117642</v>
      </c>
      <c r="I77" s="87">
        <f t="shared" si="54"/>
        <v>37.94823529411763</v>
      </c>
      <c r="J77" s="87">
        <f t="shared" si="54"/>
        <v>52.348235294117643</v>
      </c>
      <c r="K77" s="87">
        <f t="shared" si="54"/>
        <v>75.14823529411764</v>
      </c>
      <c r="L77" s="87">
        <f t="shared" si="54"/>
        <v>107.54823529411765</v>
      </c>
      <c r="M77" s="87">
        <f t="shared" si="54"/>
        <v>153.1482352941176</v>
      </c>
      <c r="N77" s="87">
        <f t="shared" si="54"/>
        <v>231.10023529411762</v>
      </c>
      <c r="O77" s="87">
        <f t="shared" si="54"/>
        <v>354.26439529411766</v>
      </c>
      <c r="P77" s="87">
        <f>SUM(P55:P72)</f>
        <v>548.86376809411775</v>
      </c>
      <c r="Q77" s="69">
        <f>Q55+Q58+Q63+Q68+Q73</f>
        <v>757.94823529411758</v>
      </c>
      <c r="R77" s="69">
        <f t="shared" ref="R77:Y77" si="55">R55+R58+R63+R68+R73</f>
        <v>1059.1020580789275</v>
      </c>
      <c r="S77" s="69">
        <f t="shared" si="55"/>
        <v>1477.904280799645</v>
      </c>
      <c r="T77" s="69">
        <f t="shared" si="55"/>
        <v>2061.7347465015469</v>
      </c>
      <c r="U77" s="69">
        <f t="shared" si="55"/>
        <v>2876.8887247184211</v>
      </c>
      <c r="V77" s="69">
        <f t="shared" si="55"/>
        <v>4194.0784828346395</v>
      </c>
      <c r="W77" s="69">
        <f t="shared" si="55"/>
        <v>5944.9669025933126</v>
      </c>
      <c r="X77" s="69">
        <f t="shared" si="55"/>
        <v>8313.6485774417561</v>
      </c>
      <c r="Y77" s="69">
        <f t="shared" si="55"/>
        <v>11556.646619736428</v>
      </c>
      <c r="Z77" s="69">
        <f>Z55+Z58+Z63+Z68+Z73</f>
        <v>16032.02183876516</v>
      </c>
      <c r="AA77" s="239" t="s">
        <v>151</v>
      </c>
      <c r="AB77" s="197">
        <f>Z55+Z58+Z63+Z68+Z73</f>
        <v>16032.02183876516</v>
      </c>
      <c r="AC77" s="240" t="s">
        <v>57</v>
      </c>
      <c r="AD77" s="138">
        <f>AB77/2^10</f>
        <v>15.656271326919102</v>
      </c>
      <c r="AE77" s="137" t="s">
        <v>144</v>
      </c>
    </row>
    <row r="78" spans="1:31" ht="14.5" x14ac:dyDescent="0.35">
      <c r="A78" s="50"/>
      <c r="Q78" s="69">
        <f>Q55+Q59+Q64+Q69+Q74</f>
        <v>810.74823529411765</v>
      </c>
      <c r="R78" s="69">
        <f t="shared" ref="R78:Y78" si="56">R55+R59+R64+R69+R74</f>
        <v>1209.3548175725987</v>
      </c>
      <c r="S78" s="69">
        <f t="shared" si="56"/>
        <v>1805.8294210015363</v>
      </c>
      <c r="T78" s="69">
        <f t="shared" si="56"/>
        <v>2699.1787280543249</v>
      </c>
      <c r="U78" s="69">
        <f t="shared" si="56"/>
        <v>4037.9090828512772</v>
      </c>
      <c r="V78" s="69">
        <f t="shared" si="56"/>
        <v>6156.4334703167378</v>
      </c>
      <c r="W78" s="69">
        <f t="shared" si="56"/>
        <v>9271.5721293029346</v>
      </c>
      <c r="X78" s="69">
        <f t="shared" si="56"/>
        <v>13884.804242264512</v>
      </c>
      <c r="Y78" s="69">
        <f t="shared" si="56"/>
        <v>20748.187972924243</v>
      </c>
      <c r="Z78" s="69">
        <f>Z55+Z59+Z64+Z69+Z74</f>
        <v>30989.658089056891</v>
      </c>
      <c r="AA78" s="237" t="s">
        <v>151</v>
      </c>
      <c r="AB78" s="198">
        <f>Z55+Z59+Z64+Z69+Z74</f>
        <v>30989.658089056891</v>
      </c>
      <c r="AC78" s="238" t="s">
        <v>16</v>
      </c>
      <c r="AD78" s="142">
        <f>AB78/2^10</f>
        <v>30.26333797759462</v>
      </c>
      <c r="AE78" s="141" t="s">
        <v>144</v>
      </c>
    </row>
    <row r="79" spans="1:31" ht="14.5" x14ac:dyDescent="0.35">
      <c r="A79" s="50"/>
      <c r="Q79" s="69">
        <f>Q55+Q65+Q70+Q75</f>
        <v>850.87623529411769</v>
      </c>
      <c r="R79" s="69">
        <f t="shared" ref="R79:Z79" si="57">R55+R65+R70+R75</f>
        <v>1357.061146686523</v>
      </c>
      <c r="S79" s="69">
        <f t="shared" si="57"/>
        <v>2167.3652594889591</v>
      </c>
      <c r="T79" s="69">
        <f t="shared" si="57"/>
        <v>3464.2652623268687</v>
      </c>
      <c r="U79" s="69">
        <f t="shared" si="57"/>
        <v>5539.723922415892</v>
      </c>
      <c r="V79" s="69">
        <f t="shared" si="57"/>
        <v>8822.3366107085749</v>
      </c>
      <c r="W79" s="69">
        <f t="shared" si="57"/>
        <v>14097.585394235339</v>
      </c>
      <c r="X79" s="69">
        <f t="shared" si="57"/>
        <v>22561.343936241181</v>
      </c>
      <c r="Y79" s="69">
        <f t="shared" si="57"/>
        <v>36127.013794197883</v>
      </c>
      <c r="Z79" s="69">
        <f t="shared" si="57"/>
        <v>57856.041203128465</v>
      </c>
      <c r="AA79" s="241" t="s">
        <v>151</v>
      </c>
      <c r="AB79" s="199">
        <f>Z55+Z59+Z65+Z70+Z75</f>
        <v>57867.92120312847</v>
      </c>
      <c r="AC79" s="242" t="s">
        <v>58</v>
      </c>
      <c r="AD79" s="139">
        <f>AB79/2^10</f>
        <v>56.511641799930146</v>
      </c>
      <c r="AE79" s="140" t="s">
        <v>144</v>
      </c>
    </row>
    <row r="80" spans="1:31" x14ac:dyDescent="0.3">
      <c r="A80" s="50"/>
      <c r="F80" s="70">
        <v>2010</v>
      </c>
      <c r="G80" s="70">
        <v>2011</v>
      </c>
      <c r="H80" s="70">
        <v>2012</v>
      </c>
      <c r="I80" s="70">
        <v>2013</v>
      </c>
      <c r="J80" s="70">
        <v>2014</v>
      </c>
      <c r="K80" s="70">
        <v>2015</v>
      </c>
      <c r="L80" s="70">
        <v>2016</v>
      </c>
      <c r="M80" s="70">
        <v>2017</v>
      </c>
      <c r="N80" s="70">
        <v>2018</v>
      </c>
      <c r="O80" s="70">
        <v>2019</v>
      </c>
      <c r="P80" s="70">
        <v>2020</v>
      </c>
      <c r="Q80" s="119">
        <v>2021</v>
      </c>
      <c r="R80" s="119">
        <v>2022</v>
      </c>
      <c r="S80" s="119">
        <v>2023</v>
      </c>
      <c r="T80" s="119">
        <v>2024</v>
      </c>
      <c r="U80" s="119">
        <v>2025</v>
      </c>
      <c r="V80" s="119">
        <v>2026</v>
      </c>
      <c r="W80" s="119">
        <v>2027</v>
      </c>
      <c r="X80" s="119">
        <v>2028</v>
      </c>
      <c r="Y80" s="119">
        <v>2029</v>
      </c>
      <c r="Z80" s="119">
        <v>2030</v>
      </c>
    </row>
    <row r="81" spans="1:32" ht="14.5" x14ac:dyDescent="0.35">
      <c r="A81" s="50"/>
      <c r="C81" s="56" t="s">
        <v>313</v>
      </c>
      <c r="D81" s="50"/>
      <c r="E81" s="50" t="s">
        <v>44</v>
      </c>
      <c r="F81" s="265">
        <f t="shared" ref="F81:Y81" si="58">G104/F77</f>
        <v>5.9630500000000008</v>
      </c>
      <c r="G81" s="265">
        <f t="shared" si="58"/>
        <v>4.9905306808897594</v>
      </c>
      <c r="H81" s="265">
        <f>I104/H77</f>
        <v>3.9257997291806013</v>
      </c>
      <c r="I81" s="265">
        <f t="shared" si="58"/>
        <v>2.5210573544989585</v>
      </c>
      <c r="J81" s="265">
        <f t="shared" si="58"/>
        <v>1.5045879395179995</v>
      </c>
      <c r="K81" s="265">
        <f t="shared" si="58"/>
        <v>0.85790838890442611</v>
      </c>
      <c r="L81" s="265">
        <f t="shared" si="58"/>
        <v>0.48613404711913871</v>
      </c>
      <c r="M81" s="265">
        <f t="shared" si="58"/>
        <v>0.26956002578176425</v>
      </c>
      <c r="N81" s="265">
        <f t="shared" si="58"/>
        <v>0.15131767366657151</v>
      </c>
      <c r="O81" s="265">
        <f t="shared" si="58"/>
        <v>8.3419223166088949E-2</v>
      </c>
      <c r="P81" s="300">
        <f t="shared" si="58"/>
        <v>4.6861111716934883E-2</v>
      </c>
      <c r="Q81" s="280">
        <f t="shared" si="58"/>
        <v>2.7399062652775485E-2</v>
      </c>
      <c r="R81" s="280">
        <f t="shared" si="58"/>
        <v>2.2658686226296E-2</v>
      </c>
      <c r="S81" s="280">
        <f t="shared" si="58"/>
        <v>1.7763015859646885E-2</v>
      </c>
      <c r="T81" s="280">
        <f t="shared" si="58"/>
        <v>1.5114732341237339E-2</v>
      </c>
      <c r="U81" s="280">
        <f t="shared" si="58"/>
        <v>1.3241529563498786E-2</v>
      </c>
      <c r="V81" s="280">
        <f t="shared" si="58"/>
        <v>1.2984273375589151E-2</v>
      </c>
      <c r="W81" s="280">
        <f t="shared" si="58"/>
        <v>1.2456823317768942E-2</v>
      </c>
      <c r="X81" s="280">
        <f t="shared" si="58"/>
        <v>1.1814533419848675E-2</v>
      </c>
      <c r="Y81" s="280">
        <f t="shared" si="58"/>
        <v>1.1301145384814944E-2</v>
      </c>
      <c r="Z81" s="280">
        <f>AA104/Z77</f>
        <v>1.0949307346845946E-2</v>
      </c>
      <c r="AA81" s="137" t="s">
        <v>44</v>
      </c>
      <c r="AB81" s="42"/>
      <c r="AC81" s="240" t="s">
        <v>57</v>
      </c>
      <c r="AD81" s="42"/>
      <c r="AE81" s="42"/>
    </row>
    <row r="82" spans="1:32" ht="14.5" x14ac:dyDescent="0.35">
      <c r="A82" s="50"/>
      <c r="C82" s="56" t="s">
        <v>263</v>
      </c>
      <c r="D82" s="50"/>
      <c r="E82" s="50" t="s">
        <v>44</v>
      </c>
      <c r="F82" s="266">
        <f t="shared" ref="F82:P82" si="59">G128/F77</f>
        <v>9.01586</v>
      </c>
      <c r="G82" s="266">
        <f t="shared" si="59"/>
        <v>7.9377670252602126</v>
      </c>
      <c r="H82" s="266">
        <f t="shared" si="59"/>
        <v>6.6542847068198752</v>
      </c>
      <c r="I82" s="266">
        <f t="shared" si="59"/>
        <v>4.7697328888150521</v>
      </c>
      <c r="J82" s="266">
        <f t="shared" si="59"/>
        <v>3.1821303230002114</v>
      </c>
      <c r="K82" s="266">
        <f t="shared" si="59"/>
        <v>2.0216180414564664</v>
      </c>
      <c r="L82" s="266">
        <f t="shared" si="59"/>
        <v>1.2662014892453026</v>
      </c>
      <c r="M82" s="266">
        <f t="shared" si="59"/>
        <v>0.7761950005503272</v>
      </c>
      <c r="N82" s="266">
        <f t="shared" si="59"/>
        <v>0.47849923765997349</v>
      </c>
      <c r="O82" s="266">
        <f t="shared" si="59"/>
        <v>0.29047789529862211</v>
      </c>
      <c r="P82" s="266">
        <f t="shared" si="59"/>
        <v>0.17868811297258422</v>
      </c>
      <c r="Q82" s="281">
        <f t="shared" ref="Q82:Y82" si="60">R128/Q78</f>
        <v>0.11600400114259567</v>
      </c>
      <c r="R82" s="281">
        <f t="shared" si="60"/>
        <v>7.6032967080787148E-2</v>
      </c>
      <c r="S82" s="281">
        <f t="shared" si="60"/>
        <v>5.2477396173061588E-2</v>
      </c>
      <c r="T82" s="281">
        <f t="shared" si="60"/>
        <v>3.7942754581120633E-2</v>
      </c>
      <c r="U82" s="281">
        <f t="shared" si="60"/>
        <v>2.8662734015009895E-2</v>
      </c>
      <c r="V82" s="281">
        <f t="shared" si="60"/>
        <v>2.3106307196135541E-2</v>
      </c>
      <c r="W82" s="281">
        <f t="shared" si="60"/>
        <v>1.9575592670527209E-2</v>
      </c>
      <c r="X82" s="281">
        <f t="shared" si="60"/>
        <v>1.7084754279868289E-2</v>
      </c>
      <c r="Y82" s="281">
        <f t="shared" si="60"/>
        <v>1.5438069608319047E-2</v>
      </c>
      <c r="Z82" s="281">
        <f>AA128/Z78</f>
        <v>1.4379874833598528E-2</v>
      </c>
      <c r="AA82" s="141" t="s">
        <v>44</v>
      </c>
      <c r="AB82" s="42"/>
      <c r="AC82" s="238" t="s">
        <v>16</v>
      </c>
      <c r="AD82" s="42"/>
      <c r="AE82" s="42"/>
    </row>
    <row r="83" spans="1:32" ht="14.5" x14ac:dyDescent="0.35">
      <c r="A83" s="50"/>
      <c r="C83" s="56"/>
      <c r="D83" s="50"/>
      <c r="E83" s="50" t="s">
        <v>44</v>
      </c>
      <c r="F83" s="267">
        <f t="shared" ref="F83:P83" si="61">G152/F77</f>
        <v>15.120486999999999</v>
      </c>
      <c r="G83" s="267">
        <f t="shared" si="61"/>
        <v>13.765032635458867</v>
      </c>
      <c r="H83" s="267">
        <f t="shared" si="61"/>
        <v>12.076686238775205</v>
      </c>
      <c r="I83" s="267">
        <f t="shared" si="61"/>
        <v>9.5924520848882437</v>
      </c>
      <c r="J83" s="267">
        <f t="shared" si="61"/>
        <v>7.179257460558115</v>
      </c>
      <c r="K83" s="267">
        <f t="shared" si="61"/>
        <v>5.1851403311400039</v>
      </c>
      <c r="L83" s="267">
        <f t="shared" si="61"/>
        <v>3.7401354984018789</v>
      </c>
      <c r="M83" s="267">
        <f t="shared" si="61"/>
        <v>2.6850059199162097</v>
      </c>
      <c r="N83" s="267">
        <f t="shared" si="61"/>
        <v>1.9374991115992177</v>
      </c>
      <c r="O83" s="267">
        <f t="shared" si="61"/>
        <v>1.4032388102437483</v>
      </c>
      <c r="P83" s="267">
        <f t="shared" si="61"/>
        <v>1.0381809170392504</v>
      </c>
      <c r="Q83" s="282">
        <f t="shared" ref="Q83:Y83" si="62">R152/Q79</f>
        <v>0.79582851647161301</v>
      </c>
      <c r="R83" s="282">
        <f t="shared" si="62"/>
        <v>0.59266284587590246</v>
      </c>
      <c r="S83" s="282">
        <f t="shared" si="62"/>
        <v>0.46544145590676766</v>
      </c>
      <c r="T83" s="282">
        <f t="shared" si="62"/>
        <v>0.35870191515478134</v>
      </c>
      <c r="U83" s="282">
        <f t="shared" si="62"/>
        <v>0.27798328922296045</v>
      </c>
      <c r="V83" s="282">
        <f t="shared" si="62"/>
        <v>0.17957684472348823</v>
      </c>
      <c r="W83" s="282">
        <f t="shared" si="62"/>
        <v>0.11990075054145483</v>
      </c>
      <c r="X83" s="282">
        <f t="shared" si="62"/>
        <v>8.3689015215450469E-2</v>
      </c>
      <c r="Y83" s="282">
        <f t="shared" si="62"/>
        <v>6.1550563084388783E-2</v>
      </c>
      <c r="Z83" s="282">
        <f>AA152/Z79</f>
        <v>4.7819342470731871E-2</v>
      </c>
      <c r="AA83" s="140" t="s">
        <v>44</v>
      </c>
      <c r="AB83" s="42"/>
      <c r="AC83" s="242" t="s">
        <v>58</v>
      </c>
      <c r="AD83" s="42"/>
      <c r="AE83" s="42"/>
    </row>
    <row r="84" spans="1:32" x14ac:dyDescent="0.3">
      <c r="A84" s="50"/>
      <c r="C84" s="56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42"/>
      <c r="AB84" s="42"/>
      <c r="AC84" s="42"/>
      <c r="AD84" s="42"/>
      <c r="AE84" s="42"/>
    </row>
    <row r="85" spans="1:32" x14ac:dyDescent="0.3">
      <c r="A85" s="50"/>
      <c r="C85" s="56"/>
      <c r="D85" s="52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42"/>
      <c r="AC85" s="42"/>
      <c r="AD85" s="42"/>
      <c r="AE85" s="42"/>
      <c r="AF85" s="42"/>
    </row>
    <row r="86" spans="1:32" x14ac:dyDescent="0.3">
      <c r="A86" s="50"/>
      <c r="C86" s="56"/>
      <c r="D86" s="52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42"/>
      <c r="AC86" s="42"/>
      <c r="AD86" s="42"/>
      <c r="AE86" s="42"/>
      <c r="AF86" s="42"/>
    </row>
    <row r="87" spans="1:32" x14ac:dyDescent="0.3">
      <c r="A87" s="50"/>
      <c r="C87" s="56"/>
      <c r="D87" s="52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42"/>
      <c r="AC87" s="42"/>
      <c r="AD87" s="42"/>
      <c r="AE87" s="42"/>
      <c r="AF87" s="42"/>
    </row>
    <row r="88" spans="1:32" x14ac:dyDescent="0.3">
      <c r="A88" s="50"/>
      <c r="C88" s="56"/>
      <c r="D88" s="52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42"/>
      <c r="AC88" s="42"/>
      <c r="AD88" s="42"/>
      <c r="AE88" s="42"/>
      <c r="AF88" s="42"/>
    </row>
    <row r="89" spans="1:32" x14ac:dyDescent="0.3">
      <c r="A89" s="50"/>
      <c r="C89" s="56"/>
      <c r="D89" s="52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</row>
    <row r="90" spans="1:32" ht="31.5" x14ac:dyDescent="0.55000000000000004">
      <c r="A90" s="50"/>
      <c r="C90" s="56"/>
      <c r="D90" s="52"/>
      <c r="E90" s="50"/>
      <c r="F90" s="50"/>
      <c r="G90" s="50"/>
      <c r="H90" s="131" t="s">
        <v>147</v>
      </c>
      <c r="I90" s="50"/>
      <c r="J90" s="50"/>
      <c r="K90" s="50"/>
      <c r="L90" s="50"/>
      <c r="M90" s="50"/>
      <c r="N90" s="50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73"/>
    </row>
    <row r="91" spans="1:32" x14ac:dyDescent="0.3">
      <c r="A91" s="50"/>
      <c r="C91" s="56"/>
      <c r="D91" s="52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73"/>
    </row>
    <row r="92" spans="1:32" x14ac:dyDescent="0.3">
      <c r="A92" s="50"/>
      <c r="C92" s="56"/>
      <c r="D92" s="52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</row>
    <row r="93" spans="1:32" x14ac:dyDescent="0.3">
      <c r="A93" s="50"/>
      <c r="B93" s="50"/>
      <c r="C93" s="50"/>
      <c r="D93" s="52"/>
      <c r="E93" s="50" t="s">
        <v>14</v>
      </c>
      <c r="F93" s="50" t="s">
        <v>14</v>
      </c>
      <c r="G93" s="50"/>
      <c r="H93" s="50"/>
      <c r="I93" s="69"/>
      <c r="J93" s="69"/>
      <c r="K93" s="69"/>
      <c r="L93" s="69"/>
      <c r="M93" s="69"/>
      <c r="N93" s="79"/>
      <c r="O93" s="79"/>
      <c r="P93" s="79"/>
      <c r="Q93" s="79"/>
      <c r="R93" s="69"/>
      <c r="AB93" s="38" t="s">
        <v>44</v>
      </c>
    </row>
    <row r="94" spans="1:32" s="58" customFormat="1" ht="12" customHeight="1" x14ac:dyDescent="0.3">
      <c r="A94" s="50" t="s">
        <v>148</v>
      </c>
      <c r="B94" s="55"/>
      <c r="C94" s="56" t="s">
        <v>255</v>
      </c>
      <c r="D94" s="57"/>
      <c r="E94" s="55" t="s">
        <v>101</v>
      </c>
      <c r="F94" s="55"/>
      <c r="G94" s="89">
        <f>F55*$C$105</f>
        <v>93.741176470588215</v>
      </c>
      <c r="H94" s="277">
        <f>G55*$C$105*0.85</f>
        <v>79.679999999999978</v>
      </c>
      <c r="I94" s="89">
        <f t="shared" ref="I94:Z94" si="63">H55*$C$105*F$108</f>
        <v>65.618823529411742</v>
      </c>
      <c r="J94" s="89">
        <f t="shared" si="63"/>
        <v>45.933176470588222</v>
      </c>
      <c r="K94" s="89">
        <f>J55*$C$105*H$108</f>
        <v>32.153223529411747</v>
      </c>
      <c r="L94" s="89">
        <f t="shared" si="63"/>
        <v>22.507256470588224</v>
      </c>
      <c r="M94" s="89">
        <f t="shared" si="63"/>
        <v>15.755079529411756</v>
      </c>
      <c r="N94" s="89">
        <f t="shared" si="63"/>
        <v>11.028555670588227</v>
      </c>
      <c r="O94" s="89">
        <f t="shared" si="63"/>
        <v>7.7199889694117596</v>
      </c>
      <c r="P94" s="89">
        <f t="shared" si="63"/>
        <v>5.4039922785882313</v>
      </c>
      <c r="Q94" s="89">
        <f t="shared" si="63"/>
        <v>3.7827945950117621</v>
      </c>
      <c r="R94" s="89">
        <f t="shared" si="63"/>
        <v>2.6479562165082333</v>
      </c>
      <c r="S94" s="89">
        <f t="shared" si="63"/>
        <v>2.1448445353716692</v>
      </c>
      <c r="T94" s="89">
        <f t="shared" si="63"/>
        <v>1.7587725190047683</v>
      </c>
      <c r="U94" s="89">
        <f t="shared" si="63"/>
        <v>1.4597811907739577</v>
      </c>
      <c r="V94" s="89">
        <f t="shared" si="63"/>
        <v>1.2262162002501245</v>
      </c>
      <c r="W94" s="89">
        <f t="shared" si="63"/>
        <v>1.0790702562201095</v>
      </c>
      <c r="X94" s="89">
        <f t="shared" si="63"/>
        <v>0.9711632305980985</v>
      </c>
      <c r="Y94" s="89">
        <f t="shared" si="63"/>
        <v>0.88375853984426966</v>
      </c>
      <c r="Z94" s="89">
        <f t="shared" si="63"/>
        <v>0.82189544205517084</v>
      </c>
      <c r="AA94" s="89">
        <f>Z55*$C$105*X$108</f>
        <v>0.78080066995241226</v>
      </c>
      <c r="AB94" s="279"/>
      <c r="AC94" s="58" t="s">
        <v>222</v>
      </c>
    </row>
    <row r="95" spans="1:32" s="58" customFormat="1" ht="22.5" customHeight="1" x14ac:dyDescent="0.3">
      <c r="A95" s="55"/>
      <c r="B95" s="55"/>
      <c r="C95" s="56" t="s">
        <v>122</v>
      </c>
      <c r="D95" s="57"/>
      <c r="E95" s="55" t="s">
        <v>101</v>
      </c>
      <c r="F95" s="55"/>
      <c r="G95" s="89">
        <f>F57*$C$106</f>
        <v>36.096000000000004</v>
      </c>
      <c r="H95" s="89">
        <f>G57*$C$106*0.85</f>
        <v>37.795895999999999</v>
      </c>
      <c r="I95" s="89">
        <f t="shared" ref="I95:AA96" si="64">H57*$C$106*F$108</f>
        <v>37.870005599999992</v>
      </c>
      <c r="J95" s="89">
        <f t="shared" si="64"/>
        <v>34.40279619839999</v>
      </c>
      <c r="K95" s="89">
        <f>J57*$C$106*H$108</f>
        <v>30.764700500419188</v>
      </c>
      <c r="L95" s="89">
        <f t="shared" si="64"/>
        <v>26.388421854234561</v>
      </c>
      <c r="M95" s="89">
        <f t="shared" si="64"/>
        <v>21.230889021192034</v>
      </c>
      <c r="N95" s="89">
        <f t="shared" si="64"/>
        <v>16.420084330552196</v>
      </c>
      <c r="O95" s="89">
        <f t="shared" si="64"/>
        <v>13.257247686801229</v>
      </c>
      <c r="P95" s="89">
        <f t="shared" si="64"/>
        <v>10.703636637369577</v>
      </c>
      <c r="Q95" s="89">
        <f t="shared" si="64"/>
        <v>8.5568295500826768</v>
      </c>
      <c r="R95" s="89">
        <f t="shared" si="64"/>
        <v>7.0978901117936157</v>
      </c>
      <c r="S95" s="89">
        <f t="shared" si="64"/>
        <v>5.7492909905528284</v>
      </c>
      <c r="T95" s="89">
        <f t="shared" si="64"/>
        <v>4.7144186122533185</v>
      </c>
      <c r="U95" s="89">
        <f t="shared" si="64"/>
        <v>3.9129674481702548</v>
      </c>
      <c r="V95" s="89">
        <f t="shared" si="64"/>
        <v>3.2868926564630137</v>
      </c>
      <c r="W95" s="89">
        <f t="shared" si="64"/>
        <v>2.892465537687452</v>
      </c>
      <c r="X95" s="89">
        <f t="shared" si="64"/>
        <v>2.6032189839187065</v>
      </c>
      <c r="Y95" s="89">
        <f t="shared" si="64"/>
        <v>2.3689292753660234</v>
      </c>
      <c r="Z95" s="89">
        <f t="shared" si="64"/>
        <v>2.2031042260904017</v>
      </c>
      <c r="AA95" s="89">
        <f t="shared" si="64"/>
        <v>2.0929490147858814</v>
      </c>
      <c r="AB95" s="279"/>
    </row>
    <row r="96" spans="1:32" s="58" customFormat="1" ht="22.5" customHeight="1" x14ac:dyDescent="0.3">
      <c r="A96" s="55"/>
      <c r="B96" s="55"/>
      <c r="C96" s="50" t="s">
        <v>97</v>
      </c>
      <c r="D96" s="57"/>
      <c r="E96" s="55"/>
      <c r="F96" s="55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>
        <f t="shared" si="64"/>
        <v>6.2641711218239964</v>
      </c>
      <c r="S96" s="89">
        <f t="shared" si="64"/>
        <v>5.0739786086774368</v>
      </c>
      <c r="T96" s="89">
        <f t="shared" si="64"/>
        <v>4.1606624591154979</v>
      </c>
      <c r="U96" s="89">
        <f t="shared" si="64"/>
        <v>3.4533498410658634</v>
      </c>
      <c r="V96" s="89">
        <f t="shared" si="64"/>
        <v>2.9008138664953251</v>
      </c>
      <c r="W96" s="89">
        <f t="shared" si="64"/>
        <v>2.552716202515886</v>
      </c>
      <c r="X96" s="89">
        <f t="shared" si="64"/>
        <v>2.2974445822642973</v>
      </c>
      <c r="Y96" s="89">
        <f t="shared" si="64"/>
        <v>2.0906745698605107</v>
      </c>
      <c r="Z96" s="89">
        <f t="shared" si="64"/>
        <v>1.9443273499702751</v>
      </c>
      <c r="AA96" s="89">
        <f t="shared" si="64"/>
        <v>1.8471109824717611</v>
      </c>
      <c r="AB96" s="279"/>
      <c r="AC96" s="58" t="s">
        <v>163</v>
      </c>
    </row>
    <row r="97" spans="1:29" s="58" customFormat="1" ht="22.5" customHeight="1" x14ac:dyDescent="0.3">
      <c r="A97" s="55"/>
      <c r="B97" s="55"/>
      <c r="C97" s="56" t="s">
        <v>118</v>
      </c>
      <c r="D97" s="57"/>
      <c r="E97" s="55" t="s">
        <v>101</v>
      </c>
      <c r="F97" s="55"/>
      <c r="G97" s="89">
        <f>F62*$C$107</f>
        <v>4.8</v>
      </c>
      <c r="H97" s="89">
        <f>G62*$C$107*0.85</f>
        <v>8.2619999999999987</v>
      </c>
      <c r="I97" s="89">
        <f t="shared" ref="I97:AA98" si="65">H62*$C$107*F$108</f>
        <v>12.096</v>
      </c>
      <c r="J97" s="89">
        <f t="shared" si="65"/>
        <v>14.347199999999999</v>
      </c>
      <c r="K97" s="89">
        <f t="shared" si="65"/>
        <v>13.541639999999996</v>
      </c>
      <c r="L97" s="89">
        <f t="shared" si="65"/>
        <v>11.848934999999999</v>
      </c>
      <c r="M97" s="89">
        <f t="shared" si="65"/>
        <v>10.447231199999997</v>
      </c>
      <c r="N97" s="89">
        <f t="shared" si="65"/>
        <v>7.9060127999999947</v>
      </c>
      <c r="O97" s="89">
        <f t="shared" si="65"/>
        <v>6.995240125439997</v>
      </c>
      <c r="P97" s="89">
        <f t="shared" si="65"/>
        <v>5.0772327235459178</v>
      </c>
      <c r="Q97" s="89">
        <f t="shared" si="65"/>
        <v>3.7436129281611907</v>
      </c>
      <c r="R97" s="89">
        <f t="shared" si="65"/>
        <v>2.95745421324734</v>
      </c>
      <c r="S97" s="89">
        <f t="shared" si="65"/>
        <v>2.3955379127303456</v>
      </c>
      <c r="T97" s="89">
        <f t="shared" si="65"/>
        <v>1.9643410884388832</v>
      </c>
      <c r="U97" s="89">
        <f t="shared" si="65"/>
        <v>1.630403103404273</v>
      </c>
      <c r="V97" s="89">
        <f t="shared" si="65"/>
        <v>1.3695386068595894</v>
      </c>
      <c r="W97" s="89">
        <f t="shared" si="65"/>
        <v>1.2051939740364386</v>
      </c>
      <c r="X97" s="89">
        <f t="shared" si="65"/>
        <v>1.0846745766327948</v>
      </c>
      <c r="Y97" s="89">
        <f t="shared" si="65"/>
        <v>0.98705386473584322</v>
      </c>
      <c r="Z97" s="89">
        <f t="shared" si="65"/>
        <v>0.91796009420433422</v>
      </c>
      <c r="AA97" s="89">
        <f t="shared" si="65"/>
        <v>0.87206208949411745</v>
      </c>
      <c r="AB97" s="279"/>
    </row>
    <row r="98" spans="1:29" s="58" customFormat="1" ht="22.5" customHeight="1" x14ac:dyDescent="0.3">
      <c r="A98" s="55"/>
      <c r="B98" s="55"/>
      <c r="C98" s="50" t="s">
        <v>97</v>
      </c>
      <c r="D98" s="57"/>
      <c r="E98" s="55"/>
      <c r="F98" s="55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>
        <f t="shared" si="65"/>
        <v>2.6100713007599987</v>
      </c>
      <c r="S98" s="89">
        <f t="shared" si="65"/>
        <v>2.1141577536155989</v>
      </c>
      <c r="T98" s="89">
        <f t="shared" si="65"/>
        <v>1.7336093579647909</v>
      </c>
      <c r="U98" s="89">
        <f t="shared" si="65"/>
        <v>1.4388957671107765</v>
      </c>
      <c r="V98" s="89">
        <f t="shared" si="65"/>
        <v>1.2086724443730521</v>
      </c>
      <c r="W98" s="89">
        <f t="shared" si="65"/>
        <v>1.063631751048286</v>
      </c>
      <c r="X98" s="89">
        <f t="shared" si="65"/>
        <v>0.95726857594345727</v>
      </c>
      <c r="Y98" s="89">
        <f t="shared" si="65"/>
        <v>0.87111440410854624</v>
      </c>
      <c r="Z98" s="89">
        <f t="shared" si="65"/>
        <v>0.81013639582094799</v>
      </c>
      <c r="AA98" s="89">
        <f t="shared" si="65"/>
        <v>0.76962957602990056</v>
      </c>
      <c r="AB98" s="279"/>
      <c r="AC98" s="58" t="s">
        <v>164</v>
      </c>
    </row>
    <row r="99" spans="1:29" ht="12.75" customHeight="1" x14ac:dyDescent="0.3">
      <c r="A99" s="50"/>
      <c r="B99" s="50"/>
      <c r="C99" s="56" t="s">
        <v>116</v>
      </c>
      <c r="D99" s="52"/>
      <c r="E99" s="55" t="s">
        <v>101</v>
      </c>
      <c r="F99" s="50"/>
      <c r="G99" s="87">
        <f>F67*$C$108</f>
        <v>5.7599999999999998E-2</v>
      </c>
      <c r="H99" s="87">
        <f>G67*$C$108*0.85</f>
        <v>0.16524</v>
      </c>
      <c r="I99" s="87">
        <f t="shared" ref="I99:AA99" si="66">H67*$C$108*F$108</f>
        <v>0.41580000000000006</v>
      </c>
      <c r="J99" s="87">
        <f t="shared" si="66"/>
        <v>0.98783999999999983</v>
      </c>
      <c r="K99" s="87">
        <f t="shared" si="66"/>
        <v>2.304959999999999</v>
      </c>
      <c r="L99" s="87">
        <f>K67*$C$108*I$108</f>
        <v>3.7239509999999991</v>
      </c>
      <c r="M99" s="87">
        <f>L67*$C$108*J$108</f>
        <v>4.850500199999999</v>
      </c>
      <c r="N99" s="87">
        <f t="shared" si="66"/>
        <v>5.9295095999999967</v>
      </c>
      <c r="O99" s="87">
        <f t="shared" si="66"/>
        <v>6.995240125439997</v>
      </c>
      <c r="P99" s="87">
        <f t="shared" si="66"/>
        <v>8.365345344508988</v>
      </c>
      <c r="Q99" s="87">
        <f>P67*$C$108*N$108</f>
        <v>9.62643324384306</v>
      </c>
      <c r="R99" s="87">
        <f t="shared" si="66"/>
        <v>10.410238830630636</v>
      </c>
      <c r="S99" s="87">
        <f>R67*$C$108*P$108</f>
        <v>12.111839686764627</v>
      </c>
      <c r="T99" s="87">
        <f t="shared" si="66"/>
        <v>14.711343279536484</v>
      </c>
      <c r="U99" s="87">
        <f t="shared" si="66"/>
        <v>16.720128166546257</v>
      </c>
      <c r="V99" s="87">
        <f t="shared" si="66"/>
        <v>18.776961163772476</v>
      </c>
      <c r="W99" s="87">
        <f t="shared" si="66"/>
        <v>16.523725824119779</v>
      </c>
      <c r="X99" s="87">
        <f t="shared" si="66"/>
        <v>14.8713532417078</v>
      </c>
      <c r="Y99" s="87">
        <f t="shared" si="66"/>
        <v>13.532931449954098</v>
      </c>
      <c r="Z99" s="87">
        <f>Y67*$C$108*W$108</f>
        <v>12.585626248457313</v>
      </c>
      <c r="AA99" s="87">
        <f t="shared" si="66"/>
        <v>11.956344936034446</v>
      </c>
      <c r="AB99" s="279"/>
    </row>
    <row r="100" spans="1:29" ht="12.75" customHeight="1" x14ac:dyDescent="0.3">
      <c r="A100" s="50"/>
      <c r="B100" s="50"/>
      <c r="C100" s="50" t="s">
        <v>97</v>
      </c>
      <c r="D100" s="52"/>
      <c r="E100" s="55"/>
      <c r="F100" s="50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>
        <f>Q68*$C$108*O$108</f>
        <v>9.1874509786751943</v>
      </c>
      <c r="S100" s="87">
        <f t="shared" ref="S100:Y100" si="67">R68*$C$108*P$108</f>
        <v>9.4714267361978823</v>
      </c>
      <c r="T100" s="87">
        <f t="shared" si="67"/>
        <v>10.193623024832966</v>
      </c>
      <c r="U100" s="87">
        <f t="shared" si="67"/>
        <v>10.265657960875121</v>
      </c>
      <c r="V100" s="87">
        <f t="shared" si="67"/>
        <v>10.215119337067733</v>
      </c>
      <c r="W100" s="87">
        <f t="shared" si="67"/>
        <v>8.9893050166196051</v>
      </c>
      <c r="X100" s="87">
        <f t="shared" si="67"/>
        <v>8.0903745149576451</v>
      </c>
      <c r="Y100" s="87">
        <f t="shared" si="67"/>
        <v>7.3622408086114577</v>
      </c>
      <c r="Z100" s="87">
        <f>Y68*$C$108*W$108</f>
        <v>6.846883952008656</v>
      </c>
      <c r="AA100" s="87">
        <f>Z68*$C$108*X$108</f>
        <v>6.5045397544082224</v>
      </c>
      <c r="AB100" s="279"/>
      <c r="AC100" s="38" t="s">
        <v>165</v>
      </c>
    </row>
    <row r="101" spans="1:29" ht="12.75" customHeight="1" x14ac:dyDescent="0.3">
      <c r="A101" s="50"/>
      <c r="B101" s="50"/>
      <c r="C101" s="56" t="s">
        <v>117</v>
      </c>
      <c r="D101" s="52"/>
      <c r="E101" s="55" t="s">
        <v>101</v>
      </c>
      <c r="F101" s="50"/>
      <c r="G101" s="87">
        <f>F72*$C$109</f>
        <v>5.3290705182007515E-18</v>
      </c>
      <c r="H101" s="87">
        <f>G72*$C$109*0.85</f>
        <v>-8.5373999999998262E-4</v>
      </c>
      <c r="I101" s="87">
        <f t="shared" ref="I101:Z101" si="68">H72*$C$109*F$108</f>
        <v>-1.7501400000000193E-4</v>
      </c>
      <c r="J101" s="87">
        <f t="shared" si="68"/>
        <v>-1.3349904959999929E-3</v>
      </c>
      <c r="K101" s="87">
        <f t="shared" si="68"/>
        <v>-2.0005512510480037E-3</v>
      </c>
      <c r="L101" s="87">
        <f t="shared" si="68"/>
        <v>1.7371453644135695E-3</v>
      </c>
      <c r="M101" s="87">
        <f t="shared" si="68"/>
        <v>-8.4106655298012882E-4</v>
      </c>
      <c r="N101" s="87">
        <f t="shared" si="68"/>
        <v>-1.520146826380556E-3</v>
      </c>
      <c r="O101" s="87">
        <f t="shared" si="68"/>
        <v>1.8330814101968173E-3</v>
      </c>
      <c r="P101" s="87">
        <f t="shared" si="68"/>
        <v>2.2536668268385005E-3</v>
      </c>
      <c r="Q101" s="87">
        <f t="shared" si="68"/>
        <v>1.0696036937603529E-2</v>
      </c>
      <c r="R101" s="87">
        <f t="shared" si="68"/>
        <v>6.5063992691441405E-2</v>
      </c>
      <c r="S101" s="87">
        <f t="shared" si="68"/>
        <v>0.24051200643812665</v>
      </c>
      <c r="T101" s="87">
        <f t="shared" si="68"/>
        <v>0.43930524101847179</v>
      </c>
      <c r="U101" s="87">
        <f t="shared" si="68"/>
        <v>0.85792411289474901</v>
      </c>
      <c r="V101" s="87">
        <f t="shared" si="68"/>
        <v>1.5006888187121259</v>
      </c>
      <c r="W101" s="87">
        <f t="shared" si="68"/>
        <v>3.0631081564647564</v>
      </c>
      <c r="X101" s="87">
        <f t="shared" si="68"/>
        <v>5.234635179127558</v>
      </c>
      <c r="Y101" s="87">
        <f t="shared" si="68"/>
        <v>8.3261532569271601</v>
      </c>
      <c r="Z101" s="87">
        <f t="shared" si="68"/>
        <v>12.978258756359898</v>
      </c>
      <c r="AA101" s="87">
        <f>Z72*$C$109*X$108</f>
        <v>20.186985095895771</v>
      </c>
      <c r="AB101" s="38" t="s">
        <v>264</v>
      </c>
    </row>
    <row r="102" spans="1:29" ht="12.75" customHeight="1" x14ac:dyDescent="0.3">
      <c r="A102" s="50"/>
      <c r="B102" s="50"/>
      <c r="C102" s="50" t="s">
        <v>97</v>
      </c>
      <c r="D102" s="52"/>
      <c r="E102" s="55"/>
      <c r="F102" s="50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>
        <f>Q73*$C$109*O$108</f>
        <v>5.7421568616719904E-2</v>
      </c>
      <c r="S102" s="87">
        <f>R73*$C$109*F137</f>
        <v>5.1934535817721494</v>
      </c>
      <c r="T102" s="87">
        <f t="shared" ref="T102:Z102" si="69">S73*$C$109*G137</f>
        <v>8.4053698179660916</v>
      </c>
      <c r="U102" s="87">
        <f t="shared" si="69"/>
        <v>14.54488409217398</v>
      </c>
      <c r="V102" s="87">
        <f t="shared" si="69"/>
        <v>22.543585251069057</v>
      </c>
      <c r="W102" s="87">
        <f t="shared" si="69"/>
        <v>40.772338353397259</v>
      </c>
      <c r="X102" s="87">
        <f t="shared" si="69"/>
        <v>61.739151431825483</v>
      </c>
      <c r="Y102" s="87">
        <f t="shared" si="69"/>
        <v>87.01409063663823</v>
      </c>
      <c r="Z102" s="87">
        <f t="shared" si="69"/>
        <v>120.1801004707165</v>
      </c>
      <c r="AA102" s="87">
        <f>Z73*$C$109*N137</f>
        <v>165.63745352112375</v>
      </c>
      <c r="AB102" s="307">
        <f>AA102/Z73</f>
        <v>1.1499897897971683E-2</v>
      </c>
      <c r="AC102" s="38" t="s">
        <v>166</v>
      </c>
    </row>
    <row r="103" spans="1:29" ht="15.75" customHeight="1" x14ac:dyDescent="0.3">
      <c r="A103" s="50"/>
      <c r="B103" s="50"/>
      <c r="C103" s="50"/>
      <c r="D103" s="52"/>
      <c r="E103" s="50"/>
      <c r="F103" s="56"/>
      <c r="G103" s="56">
        <v>2010</v>
      </c>
      <c r="H103" s="56">
        <v>2011</v>
      </c>
      <c r="I103" s="70">
        <v>2012</v>
      </c>
      <c r="J103" s="70">
        <v>2013</v>
      </c>
      <c r="K103" s="70">
        <v>2014</v>
      </c>
      <c r="L103" s="70">
        <v>2015</v>
      </c>
      <c r="M103" s="70">
        <v>2016</v>
      </c>
      <c r="N103" s="70">
        <v>2017</v>
      </c>
      <c r="O103" s="70">
        <v>2018</v>
      </c>
      <c r="P103" s="70">
        <v>2019</v>
      </c>
      <c r="Q103" s="70">
        <v>2020</v>
      </c>
      <c r="R103" s="70">
        <v>2021</v>
      </c>
      <c r="S103" s="70">
        <v>2022</v>
      </c>
      <c r="T103" s="70">
        <v>2023</v>
      </c>
      <c r="U103" s="70">
        <v>2024</v>
      </c>
      <c r="V103" s="70">
        <v>2025</v>
      </c>
      <c r="W103" s="70">
        <v>2026</v>
      </c>
      <c r="X103" s="70">
        <v>2027</v>
      </c>
      <c r="Y103" s="70">
        <v>2028</v>
      </c>
      <c r="Z103" s="70">
        <v>2029</v>
      </c>
      <c r="AA103" s="70">
        <v>2030</v>
      </c>
    </row>
    <row r="104" spans="1:29" ht="14.5" x14ac:dyDescent="0.35">
      <c r="A104" s="38" t="s">
        <v>124</v>
      </c>
      <c r="B104" s="50"/>
      <c r="C104" s="80"/>
      <c r="D104" s="204"/>
      <c r="E104" s="204"/>
      <c r="F104" s="205" t="s">
        <v>47</v>
      </c>
      <c r="G104" s="206">
        <f>SUM(G94:G101)</f>
        <v>134.69477647058824</v>
      </c>
      <c r="H104" s="206">
        <f>SUM(H94:H101)</f>
        <v>125.90228225999998</v>
      </c>
      <c r="I104" s="206">
        <f t="shared" ref="I104:Q104" si="70">SUM(I94:I101)</f>
        <v>116.00045411541173</v>
      </c>
      <c r="J104" s="206">
        <f t="shared" si="70"/>
        <v>95.669677678492206</v>
      </c>
      <c r="K104" s="206">
        <f>SUM(K94:K101)</f>
        <v>78.76252347857988</v>
      </c>
      <c r="L104" s="206">
        <f>SUM(L94:L101)</f>
        <v>64.470301470187195</v>
      </c>
      <c r="M104" s="206">
        <f t="shared" si="70"/>
        <v>52.282858884050803</v>
      </c>
      <c r="N104" s="206">
        <f t="shared" si="70"/>
        <v>41.282642254314034</v>
      </c>
      <c r="O104" s="206">
        <f t="shared" si="70"/>
        <v>34.969549988503182</v>
      </c>
      <c r="P104" s="206">
        <f t="shared" si="70"/>
        <v>29.552460650839553</v>
      </c>
      <c r="Q104" s="206">
        <f t="shared" si="70"/>
        <v>25.72036635403629</v>
      </c>
      <c r="R104" s="206">
        <f>R94+R96+R98+R100+R102</f>
        <v>20.767071186384143</v>
      </c>
      <c r="S104" s="206">
        <f t="shared" ref="S104:Y104" si="71">S94+S96+S98+S100+S102</f>
        <v>23.997861215634739</v>
      </c>
      <c r="T104" s="206">
        <f t="shared" si="71"/>
        <v>26.252037178884116</v>
      </c>
      <c r="U104" s="206">
        <f t="shared" si="71"/>
        <v>31.162568851999698</v>
      </c>
      <c r="V104" s="206">
        <f t="shared" si="71"/>
        <v>38.094407099255292</v>
      </c>
      <c r="W104" s="206">
        <f t="shared" si="71"/>
        <v>54.457061579801149</v>
      </c>
      <c r="X104" s="206">
        <f t="shared" si="71"/>
        <v>74.05540233558898</v>
      </c>
      <c r="Y104" s="206">
        <f t="shared" si="71"/>
        <v>98.221878959063019</v>
      </c>
      <c r="Z104" s="206">
        <f>Z94+Z96+Z98+Z100+Z102</f>
        <v>130.60334361057156</v>
      </c>
      <c r="AA104" s="206">
        <f>AA94+AA96+AA98+AA100+AA102</f>
        <v>175.53953450398603</v>
      </c>
      <c r="AB104" s="38">
        <f>AA100/Z68</f>
        <v>4.1646622079540068E-3</v>
      </c>
      <c r="AC104" s="38" t="s">
        <v>303</v>
      </c>
    </row>
    <row r="105" spans="1:29" ht="14.5" x14ac:dyDescent="0.35">
      <c r="A105" s="50"/>
      <c r="B105" s="50" t="s">
        <v>128</v>
      </c>
      <c r="C105" s="50">
        <v>5</v>
      </c>
      <c r="D105" s="204"/>
      <c r="E105" s="207"/>
      <c r="F105" s="208" t="s">
        <v>48</v>
      </c>
      <c r="G105" s="209">
        <f>G172</f>
        <v>162</v>
      </c>
      <c r="H105" s="209">
        <f t="shared" ref="H105:Z105" si="72">H172</f>
        <v>178</v>
      </c>
      <c r="I105" s="209">
        <f t="shared" si="72"/>
        <v>196.24</v>
      </c>
      <c r="J105" s="209">
        <f t="shared" si="72"/>
        <v>185.41757276595743</v>
      </c>
      <c r="K105" s="209">
        <f t="shared" si="72"/>
        <v>175.63409854638297</v>
      </c>
      <c r="L105" s="209">
        <f t="shared" si="72"/>
        <v>166.78983785188765</v>
      </c>
      <c r="M105" s="209">
        <f t="shared" si="72"/>
        <v>158.79462618406387</v>
      </c>
      <c r="N105" s="209">
        <f t="shared" si="72"/>
        <v>151.56695483635119</v>
      </c>
      <c r="O105" s="209">
        <f t="shared" si="72"/>
        <v>145.03313993801893</v>
      </c>
      <c r="P105" s="209">
        <f t="shared" si="72"/>
        <v>139.12657126992653</v>
      </c>
      <c r="Q105" s="209">
        <f t="shared" si="72"/>
        <v>133.78703319397104</v>
      </c>
      <c r="R105" s="209">
        <f t="shared" si="72"/>
        <v>128.96009077330729</v>
      </c>
      <c r="S105" s="209">
        <f t="shared" si="72"/>
        <v>126.15399151034006</v>
      </c>
      <c r="T105" s="209">
        <f t="shared" si="72"/>
        <v>125.21402946965131</v>
      </c>
      <c r="U105" s="209">
        <f t="shared" si="72"/>
        <v>126.06996946086254</v>
      </c>
      <c r="V105" s="209">
        <f t="shared" si="72"/>
        <v>128.72893279459115</v>
      </c>
      <c r="W105" s="209">
        <f t="shared" si="72"/>
        <v>137.9777003315159</v>
      </c>
      <c r="X105" s="209">
        <f t="shared" si="72"/>
        <v>151.53917699279796</v>
      </c>
      <c r="Y105" s="209">
        <f t="shared" si="72"/>
        <v>168.58577162374181</v>
      </c>
      <c r="Z105" s="209">
        <f t="shared" si="72"/>
        <v>191.99800415877064</v>
      </c>
      <c r="AA105" s="209">
        <f>AA172</f>
        <v>223.72192736620448</v>
      </c>
      <c r="AB105" s="38">
        <f>L99/Z68</f>
        <v>2.3843344155844159E-3</v>
      </c>
      <c r="AC105" s="38" t="s">
        <v>304</v>
      </c>
    </row>
    <row r="106" spans="1:29" ht="14.5" x14ac:dyDescent="0.35">
      <c r="A106" s="50"/>
      <c r="B106" s="50" t="s">
        <v>129</v>
      </c>
      <c r="C106" s="50">
        <v>20</v>
      </c>
      <c r="D106" s="204"/>
      <c r="E106" s="207"/>
      <c r="F106" s="216" t="s">
        <v>61</v>
      </c>
      <c r="G106" s="217">
        <f>SUM(G104:G105)</f>
        <v>296.69477647058824</v>
      </c>
      <c r="H106" s="217">
        <f t="shared" ref="H106:AA106" si="73">SUM(H104:H105)</f>
        <v>303.90228225999999</v>
      </c>
      <c r="I106" s="217">
        <f t="shared" si="73"/>
        <v>312.24045411541175</v>
      </c>
      <c r="J106" s="217">
        <f>SUM(J104:J105)</f>
        <v>281.08725044444964</v>
      </c>
      <c r="K106" s="217">
        <f t="shared" si="73"/>
        <v>254.39662202496285</v>
      </c>
      <c r="L106" s="217">
        <f t="shared" si="73"/>
        <v>231.26013932207485</v>
      </c>
      <c r="M106" s="217">
        <f t="shared" si="73"/>
        <v>211.07748506811467</v>
      </c>
      <c r="N106" s="217">
        <f t="shared" si="73"/>
        <v>192.84959709066521</v>
      </c>
      <c r="O106" s="217">
        <f t="shared" si="73"/>
        <v>180.00268992652212</v>
      </c>
      <c r="P106" s="217">
        <f t="shared" si="73"/>
        <v>168.67903192076608</v>
      </c>
      <c r="Q106" s="217">
        <f t="shared" si="73"/>
        <v>159.50739954800733</v>
      </c>
      <c r="R106" s="217">
        <f t="shared" si="73"/>
        <v>149.72716195969144</v>
      </c>
      <c r="S106" s="217">
        <f t="shared" si="73"/>
        <v>150.15185272597481</v>
      </c>
      <c r="T106" s="217">
        <f t="shared" si="73"/>
        <v>151.46606664853542</v>
      </c>
      <c r="U106" s="217">
        <f t="shared" si="73"/>
        <v>157.23253831286223</v>
      </c>
      <c r="V106" s="217">
        <f t="shared" si="73"/>
        <v>166.82333989384642</v>
      </c>
      <c r="W106" s="217">
        <f t="shared" si="73"/>
        <v>192.43476191131705</v>
      </c>
      <c r="X106" s="217">
        <f t="shared" si="73"/>
        <v>225.59457932838694</v>
      </c>
      <c r="Y106" s="217">
        <f t="shared" si="73"/>
        <v>266.80765058280485</v>
      </c>
      <c r="Z106" s="217">
        <f t="shared" si="73"/>
        <v>322.60134776934217</v>
      </c>
      <c r="AA106" s="217">
        <f t="shared" si="73"/>
        <v>399.26146187019049</v>
      </c>
      <c r="AB106" s="311">
        <f>AB104/AB105</f>
        <v>1.7466770519827526</v>
      </c>
      <c r="AC106" s="38" t="s">
        <v>302</v>
      </c>
    </row>
    <row r="107" spans="1:29" ht="14.5" x14ac:dyDescent="0.35">
      <c r="A107" s="50"/>
      <c r="B107" s="50" t="s">
        <v>130</v>
      </c>
      <c r="C107" s="50">
        <v>2.5</v>
      </c>
      <c r="D107" s="204"/>
      <c r="E107" s="137"/>
      <c r="F107" s="207"/>
      <c r="G107" s="207"/>
      <c r="H107" s="207"/>
      <c r="I107" s="207"/>
      <c r="J107" s="151"/>
      <c r="K107" s="151"/>
      <c r="L107" s="151"/>
      <c r="M107" s="151"/>
      <c r="N107" s="211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311">
        <f>(L99/K67)/AB105</f>
        <v>50.349480851063809</v>
      </c>
      <c r="AC107" s="38" t="s">
        <v>301</v>
      </c>
    </row>
    <row r="108" spans="1:29" ht="14.5" x14ac:dyDescent="0.35">
      <c r="A108" s="50"/>
      <c r="B108" s="50" t="s">
        <v>131</v>
      </c>
      <c r="C108" s="50">
        <v>0.5</v>
      </c>
      <c r="D108" s="204" t="s">
        <v>51</v>
      </c>
      <c r="E108" s="137"/>
      <c r="F108" s="212">
        <v>0.7</v>
      </c>
      <c r="G108" s="213">
        <f t="shared" ref="G108:N108" si="74">F108*$F$108</f>
        <v>0.48999999999999994</v>
      </c>
      <c r="H108" s="213">
        <f t="shared" si="74"/>
        <v>0.34299999999999992</v>
      </c>
      <c r="I108" s="213">
        <f t="shared" si="74"/>
        <v>0.24009999999999992</v>
      </c>
      <c r="J108" s="213">
        <f>I108*$F$108</f>
        <v>0.16806999999999994</v>
      </c>
      <c r="K108" s="213">
        <f t="shared" si="74"/>
        <v>0.11764899999999995</v>
      </c>
      <c r="L108" s="213">
        <f t="shared" si="74"/>
        <v>8.2354299999999964E-2</v>
      </c>
      <c r="M108" s="213">
        <f t="shared" si="74"/>
        <v>5.7648009999999972E-2</v>
      </c>
      <c r="N108" s="214">
        <f t="shared" si="74"/>
        <v>4.0353606999999979E-2</v>
      </c>
      <c r="O108" s="214">
        <f>N108*$F$108</f>
        <v>2.8247524899999984E-2</v>
      </c>
      <c r="P108" s="324">
        <f>O108*F136</f>
        <v>2.2880495168999988E-2</v>
      </c>
      <c r="Q108" s="324">
        <f t="shared" ref="Q108:W108" si="75">P108*G136</f>
        <v>1.8762006038579988E-2</v>
      </c>
      <c r="R108" s="324">
        <f t="shared" si="75"/>
        <v>1.557246501202139E-2</v>
      </c>
      <c r="S108" s="324">
        <f t="shared" si="75"/>
        <v>1.3080870610097967E-2</v>
      </c>
      <c r="T108" s="324">
        <f t="shared" si="75"/>
        <v>1.151116613688621E-2</v>
      </c>
      <c r="U108" s="324">
        <f t="shared" si="75"/>
        <v>1.0360049523197589E-2</v>
      </c>
      <c r="V108" s="324">
        <f t="shared" si="75"/>
        <v>9.427645066109807E-3</v>
      </c>
      <c r="W108" s="324">
        <f t="shared" si="75"/>
        <v>8.7677099114821209E-3</v>
      </c>
      <c r="X108" s="324">
        <f>W108*N136</f>
        <v>8.3293244159080137E-3</v>
      </c>
      <c r="Y108" s="215"/>
      <c r="Z108" s="215"/>
      <c r="AA108" s="215"/>
      <c r="AB108" s="311"/>
    </row>
    <row r="109" spans="1:29" s="84" customFormat="1" x14ac:dyDescent="0.3">
      <c r="A109" s="81"/>
      <c r="B109" s="50" t="s">
        <v>132</v>
      </c>
      <c r="C109" s="50">
        <v>0.05</v>
      </c>
      <c r="D109" s="82"/>
      <c r="E109" s="73" t="s">
        <v>123</v>
      </c>
      <c r="F109" s="126">
        <v>2012</v>
      </c>
      <c r="G109" s="126">
        <v>2013</v>
      </c>
      <c r="H109" s="126">
        <v>2014</v>
      </c>
      <c r="I109" s="126">
        <v>2015</v>
      </c>
      <c r="J109" s="126">
        <v>2016</v>
      </c>
      <c r="K109" s="126">
        <v>2017</v>
      </c>
      <c r="L109" s="126">
        <v>2018</v>
      </c>
      <c r="M109" s="126">
        <v>2019</v>
      </c>
      <c r="N109" s="126">
        <v>2020</v>
      </c>
      <c r="O109" s="126">
        <v>2021</v>
      </c>
      <c r="P109" s="126">
        <v>2022</v>
      </c>
      <c r="Q109" s="126">
        <v>2023</v>
      </c>
      <c r="R109" s="126">
        <v>2024</v>
      </c>
      <c r="S109" s="126">
        <v>2025</v>
      </c>
      <c r="T109" s="126">
        <v>2026</v>
      </c>
      <c r="U109" s="126">
        <v>2027</v>
      </c>
      <c r="V109" s="126">
        <v>2028</v>
      </c>
      <c r="W109" s="126">
        <v>2029</v>
      </c>
      <c r="X109" s="126">
        <v>2030</v>
      </c>
      <c r="Y109" s="83"/>
      <c r="Z109" s="83"/>
      <c r="AA109" s="83"/>
    </row>
    <row r="110" spans="1:29" s="84" customFormat="1" x14ac:dyDescent="0.3">
      <c r="A110" s="81"/>
      <c r="C110" s="82"/>
      <c r="D110" s="82"/>
      <c r="E110" s="82"/>
      <c r="F110" s="82">
        <v>0.95</v>
      </c>
      <c r="G110" s="82"/>
      <c r="H110" s="82"/>
      <c r="I110" s="82"/>
      <c r="J110" s="82"/>
      <c r="K110" s="82"/>
      <c r="L110" s="82"/>
      <c r="M110" s="82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</row>
    <row r="111" spans="1:29" s="84" customFormat="1" x14ac:dyDescent="0.3">
      <c r="A111" s="81"/>
      <c r="B111" s="81"/>
      <c r="C111" s="82">
        <f>C109/2562</f>
        <v>1.95160031225605E-5</v>
      </c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</row>
    <row r="112" spans="1:29" s="84" customFormat="1" x14ac:dyDescent="0.3">
      <c r="A112" s="81"/>
      <c r="B112" s="81"/>
      <c r="C112" s="82">
        <f>1/C111</f>
        <v>51240</v>
      </c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3"/>
      <c r="O112" s="83"/>
      <c r="P112" s="83"/>
      <c r="Q112" s="83">
        <f>Q128/P77/2562</f>
        <v>6.9745555414747943E-5</v>
      </c>
      <c r="R112" s="83" t="s">
        <v>329</v>
      </c>
      <c r="S112" s="83">
        <f>1/Q112</f>
        <v>14337.831193018881</v>
      </c>
      <c r="T112" s="83"/>
      <c r="U112" s="83"/>
      <c r="V112" s="83"/>
      <c r="W112" s="83"/>
      <c r="X112" s="83"/>
      <c r="Y112" s="83"/>
      <c r="Z112" s="83"/>
      <c r="AA112" s="83"/>
    </row>
    <row r="113" spans="1:28" s="84" customFormat="1" x14ac:dyDescent="0.3">
      <c r="A113" s="81"/>
      <c r="B113" s="81"/>
      <c r="C113" s="82">
        <f>C112/1000000</f>
        <v>5.1240000000000001E-2</v>
      </c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3"/>
      <c r="O113" s="83"/>
      <c r="P113" s="83"/>
      <c r="Q113" s="83">
        <f>Q121/P67/2562</f>
        <v>2.5027850330980006E-5</v>
      </c>
      <c r="R113" s="83" t="s">
        <v>329</v>
      </c>
      <c r="S113" s="189">
        <f>Q113^-1</f>
        <v>39955.48905621266</v>
      </c>
      <c r="T113" s="83" t="s">
        <v>330</v>
      </c>
      <c r="U113" s="83"/>
      <c r="V113" s="83"/>
      <c r="W113" s="83"/>
      <c r="X113" s="83"/>
      <c r="Y113" s="83"/>
      <c r="Z113" s="83"/>
      <c r="AA113" s="83">
        <f>AA102/Z73/2562</f>
        <v>4.4886408657188464E-6</v>
      </c>
    </row>
    <row r="114" spans="1:28" s="84" customFormat="1" x14ac:dyDescent="0.3">
      <c r="A114" s="81"/>
      <c r="B114" s="81"/>
      <c r="C114" s="82">
        <f>2/44</f>
        <v>4.5454545454545456E-2</v>
      </c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3"/>
      <c r="O114" s="83"/>
      <c r="P114" s="83"/>
      <c r="Q114" s="83"/>
      <c r="R114" s="83"/>
      <c r="S114" s="83">
        <v>20000</v>
      </c>
      <c r="T114" s="83"/>
      <c r="U114" s="83"/>
      <c r="V114" s="83"/>
      <c r="W114" s="83"/>
      <c r="X114" s="83"/>
      <c r="Y114" s="83"/>
      <c r="Z114" s="83"/>
      <c r="AA114" s="337">
        <f>1/AA113</f>
        <v>222784.58667462409</v>
      </c>
      <c r="AB114" s="336">
        <v>10000000</v>
      </c>
    </row>
    <row r="115" spans="1:28" s="84" customFormat="1" x14ac:dyDescent="0.3">
      <c r="A115" s="81"/>
      <c r="B115" s="81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</row>
    <row r="116" spans="1:28" s="84" customFormat="1" x14ac:dyDescent="0.3">
      <c r="A116" s="50" t="s">
        <v>149</v>
      </c>
      <c r="B116" s="50"/>
      <c r="C116" s="56" t="s">
        <v>255</v>
      </c>
      <c r="D116" s="50"/>
      <c r="E116" s="55" t="s">
        <v>101</v>
      </c>
      <c r="F116" s="50"/>
      <c r="G116" s="87">
        <f>F55*$C129</f>
        <v>131.23764705882348</v>
      </c>
      <c r="H116" s="87">
        <f>G55*$C129*0.89</f>
        <v>116.8015058823529</v>
      </c>
      <c r="I116" s="87">
        <f t="shared" ref="I116:Q116" si="76">H55*$C129*F132</f>
        <v>102.36536470588231</v>
      </c>
      <c r="J116" s="87">
        <f t="shared" si="76"/>
        <v>79.844984470588216</v>
      </c>
      <c r="K116" s="87">
        <f t="shared" si="76"/>
        <v>62.279087887058807</v>
      </c>
      <c r="L116" s="87">
        <f t="shared" si="76"/>
        <v>48.577688551905865</v>
      </c>
      <c r="M116" s="87">
        <f t="shared" si="76"/>
        <v>37.890597070486578</v>
      </c>
      <c r="N116" s="87">
        <f t="shared" si="76"/>
        <v>29.554665714979532</v>
      </c>
      <c r="O116" s="87">
        <f t="shared" si="76"/>
        <v>23.052639257684035</v>
      </c>
      <c r="P116" s="87">
        <f t="shared" si="76"/>
        <v>17.981058620993547</v>
      </c>
      <c r="Q116" s="87">
        <f t="shared" si="76"/>
        <v>14.025225724374966</v>
      </c>
      <c r="R116" s="124">
        <f>Q55*$C129*O132</f>
        <v>10.939676065012474</v>
      </c>
      <c r="S116" s="124">
        <f>R55*$C129*P132</f>
        <v>8.8611376126601034</v>
      </c>
      <c r="T116" s="124">
        <f>S55*$C129*Q132</f>
        <v>7.2661328423812845</v>
      </c>
      <c r="U116" s="124">
        <f t="shared" ref="U116:Z116" si="77">T55*$C129*R132</f>
        <v>6.0308902591764664</v>
      </c>
      <c r="V116" s="124">
        <f t="shared" si="77"/>
        <v>5.0659478177082304</v>
      </c>
      <c r="W116" s="124">
        <f t="shared" si="77"/>
        <v>4.4580340795832427</v>
      </c>
      <c r="X116" s="124">
        <f t="shared" si="77"/>
        <v>4.012230671624919</v>
      </c>
      <c r="Y116" s="124">
        <f t="shared" si="77"/>
        <v>3.6511299111786761</v>
      </c>
      <c r="Z116" s="124">
        <f t="shared" si="77"/>
        <v>3.395550817396169</v>
      </c>
      <c r="AA116" s="124">
        <f>Z55*$C129*X132</f>
        <v>3.2257732765263603</v>
      </c>
    </row>
    <row r="117" spans="1:28" s="84" customFormat="1" x14ac:dyDescent="0.3">
      <c r="A117" s="50"/>
      <c r="B117" s="50"/>
      <c r="C117" s="56" t="s">
        <v>122</v>
      </c>
      <c r="D117" s="52"/>
      <c r="E117" s="55" t="s">
        <v>101</v>
      </c>
      <c r="F117" s="50"/>
      <c r="G117" s="87">
        <f>F57*$C130</f>
        <v>66.777600000000007</v>
      </c>
      <c r="H117" s="87">
        <f>G57*$C130*0.89</f>
        <v>73.21287384</v>
      </c>
      <c r="I117" s="87">
        <f>H57*F$132*$C130</f>
        <v>78.066311544000001</v>
      </c>
      <c r="J117" s="87">
        <f t="shared" ref="J117:Q117" si="78">I57*G132*$C$130</f>
        <v>79.023924965606398</v>
      </c>
      <c r="K117" s="87">
        <f t="shared" si="78"/>
        <v>78.743390031978493</v>
      </c>
      <c r="L117" s="87">
        <f t="shared" si="78"/>
        <v>75.261244834207218</v>
      </c>
      <c r="M117" s="87">
        <f t="shared" si="78"/>
        <v>67.471866124174923</v>
      </c>
      <c r="N117" s="87">
        <f t="shared" si="78"/>
        <v>58.146889513024099</v>
      </c>
      <c r="O117" s="87">
        <f t="shared" si="78"/>
        <v>52.31196544417115</v>
      </c>
      <c r="P117" s="87">
        <f t="shared" si="78"/>
        <v>47.06256433577947</v>
      </c>
      <c r="Q117" s="87">
        <f t="shared" si="78"/>
        <v>41.923127462782922</v>
      </c>
      <c r="R117" s="87">
        <f t="shared" ref="R117:AA117" si="79">Q57*O$132*$C$130</f>
        <v>38.749546713850457</v>
      </c>
      <c r="S117" s="87">
        <f t="shared" si="79"/>
        <v>31.387132838218864</v>
      </c>
      <c r="T117" s="87">
        <f t="shared" si="79"/>
        <v>25.737448927339468</v>
      </c>
      <c r="U117" s="87">
        <f t="shared" si="79"/>
        <v>21.362082609691761</v>
      </c>
      <c r="V117" s="87">
        <f t="shared" si="79"/>
        <v>17.944149392141075</v>
      </c>
      <c r="W117" s="87">
        <f t="shared" si="79"/>
        <v>15.790851465084145</v>
      </c>
      <c r="X117" s="87">
        <f t="shared" si="79"/>
        <v>14.211766318575732</v>
      </c>
      <c r="Y117" s="87">
        <f t="shared" si="79"/>
        <v>12.932707349903916</v>
      </c>
      <c r="Z117" s="87">
        <f t="shared" si="79"/>
        <v>12.027417835410642</v>
      </c>
      <c r="AA117" s="87">
        <f t="shared" si="79"/>
        <v>11.42604694364011</v>
      </c>
    </row>
    <row r="118" spans="1:28" s="84" customFormat="1" x14ac:dyDescent="0.3">
      <c r="A118" s="50"/>
      <c r="B118" s="50"/>
      <c r="C118" s="50" t="s">
        <v>98</v>
      </c>
      <c r="D118" s="52"/>
      <c r="E118" s="55"/>
      <c r="F118" s="50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124">
        <f t="shared" ref="R118:Z118" si="80">Q59*O$132*$C$130</f>
        <v>36.640736243781838</v>
      </c>
      <c r="S118" s="124">
        <f t="shared" si="80"/>
        <v>29.678996357463287</v>
      </c>
      <c r="T118" s="124">
        <f t="shared" si="80"/>
        <v>24.336777013119896</v>
      </c>
      <c r="U118" s="124">
        <f t="shared" si="80"/>
        <v>20.199524920889512</v>
      </c>
      <c r="V118" s="124">
        <f t="shared" si="80"/>
        <v>16.967600933547189</v>
      </c>
      <c r="W118" s="124">
        <f t="shared" si="80"/>
        <v>14.931488821521524</v>
      </c>
      <c r="X118" s="124">
        <f t="shared" si="80"/>
        <v>13.438339939369373</v>
      </c>
      <c r="Y118" s="124">
        <f t="shared" si="80"/>
        <v>12.228889344826129</v>
      </c>
      <c r="Z118" s="124">
        <f t="shared" si="80"/>
        <v>11.372867090688301</v>
      </c>
      <c r="AA118" s="124">
        <f>Z59*X$132*$C$130</f>
        <v>10.804223736153885</v>
      </c>
    </row>
    <row r="119" spans="1:28" s="84" customFormat="1" x14ac:dyDescent="0.3">
      <c r="A119" s="50"/>
      <c r="B119" s="50"/>
      <c r="C119" s="56" t="s">
        <v>118</v>
      </c>
      <c r="D119" s="52"/>
      <c r="E119" s="55"/>
      <c r="F119" s="50"/>
      <c r="G119" s="87">
        <f>F62*$C$131</f>
        <v>5.5679999999999996</v>
      </c>
      <c r="H119" s="87">
        <f>G62*$C$131*0.89</f>
        <v>10.034928000000001</v>
      </c>
      <c r="I119" s="87">
        <f t="shared" ref="I119:AA119" si="81">H62*$C$131*F$132</f>
        <v>15.634944000000003</v>
      </c>
      <c r="J119" s="87">
        <f t="shared" si="81"/>
        <v>20.66418432</v>
      </c>
      <c r="K119" s="87">
        <f t="shared" si="81"/>
        <v>21.732963033599997</v>
      </c>
      <c r="L119" s="87">
        <f t="shared" si="81"/>
        <v>21.189638957760003</v>
      </c>
      <c r="M119" s="87">
        <f t="shared" si="81"/>
        <v>20.81814401092608</v>
      </c>
      <c r="N119" s="87">
        <f t="shared" si="81"/>
        <v>17.554759274078208</v>
      </c>
      <c r="O119" s="87">
        <f t="shared" si="81"/>
        <v>17.307588263499191</v>
      </c>
      <c r="P119" s="87">
        <f t="shared" si="81"/>
        <v>13.997728352958262</v>
      </c>
      <c r="Q119" s="87">
        <f t="shared" si="81"/>
        <v>11.500533614790511</v>
      </c>
      <c r="R119" s="87">
        <f t="shared" si="81"/>
        <v>10.123755447762731</v>
      </c>
      <c r="S119" s="87">
        <f t="shared" si="81"/>
        <v>8.2002419126878117</v>
      </c>
      <c r="T119" s="87">
        <f t="shared" si="81"/>
        <v>6.7241983684040054</v>
      </c>
      <c r="U119" s="87">
        <f t="shared" si="81"/>
        <v>5.5810846457753245</v>
      </c>
      <c r="V119" s="87">
        <f t="shared" si="81"/>
        <v>4.6881111024512725</v>
      </c>
      <c r="W119" s="87">
        <f t="shared" si="81"/>
        <v>4.125537770157119</v>
      </c>
      <c r="X119" s="87">
        <f t="shared" si="81"/>
        <v>3.7129839931414077</v>
      </c>
      <c r="Y119" s="87">
        <f t="shared" si="81"/>
        <v>3.3788154337586809</v>
      </c>
      <c r="Z119" s="87">
        <f t="shared" si="81"/>
        <v>3.1422983533955735</v>
      </c>
      <c r="AA119" s="87">
        <f t="shared" si="81"/>
        <v>2.9851834357257943</v>
      </c>
    </row>
    <row r="120" spans="1:28" s="84" customFormat="1" x14ac:dyDescent="0.3">
      <c r="A120" s="50"/>
      <c r="B120" s="50"/>
      <c r="C120" s="50" t="s">
        <v>98</v>
      </c>
      <c r="D120" s="52"/>
      <c r="E120" s="55"/>
      <c r="F120" s="50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124">
        <f t="shared" ref="R120:Z120" si="82">Q64*$C$131*O$132</f>
        <v>9.5728049645916524</v>
      </c>
      <c r="S120" s="124">
        <f t="shared" si="82"/>
        <v>7.753972021319238</v>
      </c>
      <c r="T120" s="124">
        <f t="shared" si="82"/>
        <v>6.3582570574817749</v>
      </c>
      <c r="U120" s="124">
        <f t="shared" si="82"/>
        <v>5.277353357709873</v>
      </c>
      <c r="V120" s="124">
        <f t="shared" si="82"/>
        <v>4.4329768204762932</v>
      </c>
      <c r="W120" s="124">
        <f t="shared" si="82"/>
        <v>3.9010196020191374</v>
      </c>
      <c r="X120" s="124">
        <f t="shared" si="82"/>
        <v>3.5109176418172239</v>
      </c>
      <c r="Y120" s="124">
        <f t="shared" si="82"/>
        <v>3.1949350540536741</v>
      </c>
      <c r="Z120" s="124">
        <f t="shared" si="82"/>
        <v>2.971289600269917</v>
      </c>
      <c r="AA120" s="124">
        <f>Z64*$C$131*X$132</f>
        <v>2.8227251202564205</v>
      </c>
    </row>
    <row r="121" spans="1:28" s="84" customFormat="1" x14ac:dyDescent="0.3">
      <c r="A121" s="50"/>
      <c r="B121" s="50"/>
      <c r="C121" s="56" t="s">
        <v>119</v>
      </c>
      <c r="D121" s="52"/>
      <c r="E121" s="55" t="s">
        <v>101</v>
      </c>
      <c r="F121" s="50" t="s">
        <v>14</v>
      </c>
      <c r="G121" s="87">
        <f>F67*$C132</f>
        <v>6.9120000000000001E-2</v>
      </c>
      <c r="H121" s="87">
        <f>G67*$C132*0.89</f>
        <v>0.2076192</v>
      </c>
      <c r="I121" s="87">
        <f t="shared" ref="I121:P121" si="83">H67*F132*$C132</f>
        <v>0.55598400000000003</v>
      </c>
      <c r="J121" s="87">
        <f t="shared" si="83"/>
        <v>1.47184128</v>
      </c>
      <c r="K121" s="87">
        <f t="shared" si="83"/>
        <v>3.8267873279999995</v>
      </c>
      <c r="L121" s="87">
        <f t="shared" si="83"/>
        <v>6.889242222720001</v>
      </c>
      <c r="M121" s="87">
        <f t="shared" si="83"/>
        <v>9.9988622712576003</v>
      </c>
      <c r="N121" s="87">
        <f t="shared" si="83"/>
        <v>13.62007185057792</v>
      </c>
      <c r="O121" s="87">
        <f t="shared" si="83"/>
        <v>17.904401651895711</v>
      </c>
      <c r="P121" s="87">
        <f t="shared" si="83"/>
        <v>23.858197094204726</v>
      </c>
      <c r="Q121" s="87">
        <f>P67*N132*$C132</f>
        <v>30.592552472841749</v>
      </c>
      <c r="R121" s="87">
        <f>Q67*O$132*$C$132</f>
        <v>36.86443363047394</v>
      </c>
      <c r="S121" s="87">
        <f t="shared" ref="S121:AA121" si="84">R67*P132*$C132</f>
        <v>42.890092872982322</v>
      </c>
      <c r="T121" s="87">
        <f t="shared" si="84"/>
        <v>52.095379055846152</v>
      </c>
      <c r="U121" s="87">
        <f t="shared" si="84"/>
        <v>59.208829414658418</v>
      </c>
      <c r="V121" s="87">
        <f t="shared" si="84"/>
        <v>66.492426337729327</v>
      </c>
      <c r="W121" s="87">
        <f t="shared" si="84"/>
        <v>58.51333517720181</v>
      </c>
      <c r="X121" s="87">
        <f t="shared" si="84"/>
        <v>52.662001659481639</v>
      </c>
      <c r="Y121" s="87">
        <f t="shared" si="84"/>
        <v>47.922421510128288</v>
      </c>
      <c r="Z121" s="87">
        <f t="shared" si="84"/>
        <v>44.567852004419308</v>
      </c>
      <c r="AA121" s="87">
        <f t="shared" si="84"/>
        <v>42.33945940419833</v>
      </c>
    </row>
    <row r="122" spans="1:28" s="84" customFormat="1" x14ac:dyDescent="0.3">
      <c r="A122" s="50"/>
      <c r="B122" s="50"/>
      <c r="C122" s="50" t="s">
        <v>98</v>
      </c>
      <c r="D122" s="52"/>
      <c r="E122" s="55"/>
      <c r="F122" s="50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124">
        <f>Q69*O$132*$C$132</f>
        <v>34.858213940030289</v>
      </c>
      <c r="S122" s="124">
        <f>R69*P$132*$C$132</f>
        <v>38.502481761033465</v>
      </c>
      <c r="T122" s="124">
        <f t="shared" ref="T122:Y122" si="85">S69*Q$132*$C$132</f>
        <v>44.398174280691698</v>
      </c>
      <c r="U122" s="124">
        <f t="shared" si="85"/>
        <v>47.905630048866342</v>
      </c>
      <c r="V122" s="124">
        <f t="shared" si="85"/>
        <v>51.074771729022125</v>
      </c>
      <c r="W122" s="124">
        <f t="shared" si="85"/>
        <v>44.945799121539466</v>
      </c>
      <c r="X122" s="124">
        <f t="shared" si="85"/>
        <v>40.451219209385521</v>
      </c>
      <c r="Y122" s="124">
        <f t="shared" si="85"/>
        <v>36.810609480540826</v>
      </c>
      <c r="Z122" s="124">
        <f>Y69*W$132*$C$132</f>
        <v>34.233866816902967</v>
      </c>
      <c r="AA122" s="124">
        <f>Z69*X$132*$C$132</f>
        <v>32.522173476057816</v>
      </c>
    </row>
    <row r="123" spans="1:28" s="84" customFormat="1" x14ac:dyDescent="0.3">
      <c r="A123" s="50"/>
      <c r="B123" s="50"/>
      <c r="C123" s="56" t="s">
        <v>117</v>
      </c>
      <c r="D123" s="52"/>
      <c r="E123" s="55" t="s">
        <v>101</v>
      </c>
      <c r="F123" s="50"/>
      <c r="G123" s="87">
        <f>F72*$C$133</f>
        <v>6.3948846218409015E-18</v>
      </c>
      <c r="H123" s="87">
        <f>G72*$C$133*0.89</f>
        <v>-1.072699199999978E-3</v>
      </c>
      <c r="I123" s="87">
        <f t="shared" ref="I123:AA123" si="86">H72*$C$133*F132</f>
        <v>-2.3401872000000255E-4</v>
      </c>
      <c r="J123" s="87">
        <f t="shared" si="86"/>
        <v>-1.9890813496319898E-3</v>
      </c>
      <c r="K123" s="87">
        <f t="shared" si="86"/>
        <v>-3.3213956756408141E-3</v>
      </c>
      <c r="L123" s="87">
        <f t="shared" si="86"/>
        <v>3.2136876106909802E-3</v>
      </c>
      <c r="M123" s="87">
        <f t="shared" si="86"/>
        <v>-1.7337817291935571E-3</v>
      </c>
      <c r="N123" s="87">
        <f t="shared" si="86"/>
        <v>-3.4917742605107141E-3</v>
      </c>
      <c r="O123" s="87">
        <f t="shared" si="86"/>
        <v>4.6917940256872665E-3</v>
      </c>
      <c r="P123" s="87">
        <f t="shared" si="86"/>
        <v>6.4275203383776002E-3</v>
      </c>
      <c r="Q123" s="87">
        <f t="shared" si="86"/>
        <v>3.3991724969824576E-2</v>
      </c>
      <c r="R123" s="87">
        <f t="shared" si="86"/>
        <v>0.23040271019046185</v>
      </c>
      <c r="S123" s="87">
        <f t="shared" si="86"/>
        <v>0.85169409106950633</v>
      </c>
      <c r="T123" s="87">
        <f t="shared" si="86"/>
        <v>1.5556548859757293</v>
      </c>
      <c r="U123" s="87">
        <f t="shared" si="86"/>
        <v>3.0380558058604885</v>
      </c>
      <c r="V123" s="87">
        <f t="shared" si="86"/>
        <v>5.3141954048768127</v>
      </c>
      <c r="W123" s="87">
        <f t="shared" si="86"/>
        <v>10.846989120432877</v>
      </c>
      <c r="X123" s="87">
        <f t="shared" si="86"/>
        <v>18.536737175798493</v>
      </c>
      <c r="Y123" s="87">
        <f t="shared" si="86"/>
        <v>29.48433067971715</v>
      </c>
      <c r="Z123" s="87">
        <f t="shared" si="86"/>
        <v>45.95823077134569</v>
      </c>
      <c r="AA123" s="87">
        <f t="shared" si="86"/>
        <v>71.485561894830681</v>
      </c>
    </row>
    <row r="124" spans="1:28" s="84" customFormat="1" x14ac:dyDescent="0.3">
      <c r="A124" s="50"/>
      <c r="B124" s="50"/>
      <c r="C124" s="50" t="s">
        <v>98</v>
      </c>
      <c r="D124" s="52"/>
      <c r="E124" s="50"/>
      <c r="F124" s="50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124">
        <f>Q74*$C$133*$F$132</f>
        <v>2.0386079999999978</v>
      </c>
      <c r="S124" s="124">
        <f t="shared" ref="S124:AA124" si="87">R74*$C$133*F137</f>
        <v>7.1542472810126565</v>
      </c>
      <c r="T124" s="124">
        <f t="shared" si="87"/>
        <v>12.405884753193396</v>
      </c>
      <c r="U124" s="124">
        <f t="shared" si="87"/>
        <v>23.000877462504416</v>
      </c>
      <c r="V124" s="124">
        <f t="shared" si="87"/>
        <v>38.196216717804873</v>
      </c>
      <c r="W124" s="124">
        <f t="shared" si="87"/>
        <v>74.01610137304597</v>
      </c>
      <c r="X124" s="124">
        <f t="shared" si="87"/>
        <v>120.08381195644985</v>
      </c>
      <c r="Y124" s="124">
        <f t="shared" si="87"/>
        <v>181.3329049125627</v>
      </c>
      <c r="Z124" s="124">
        <f t="shared" si="87"/>
        <v>268.33839584723518</v>
      </c>
      <c r="AA124" s="124">
        <f t="shared" si="87"/>
        <v>396.25250884765779</v>
      </c>
    </row>
    <row r="125" spans="1:28" s="84" customFormat="1" x14ac:dyDescent="0.3">
      <c r="A125" s="50"/>
      <c r="B125" s="50"/>
      <c r="C125" s="50"/>
      <c r="D125" s="52"/>
      <c r="E125" s="50"/>
      <c r="F125" s="50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87"/>
      <c r="S125" s="87"/>
      <c r="T125" s="87"/>
      <c r="U125" s="87"/>
      <c r="V125" s="87"/>
      <c r="W125" s="87"/>
      <c r="X125" s="87"/>
      <c r="Y125" s="87"/>
      <c r="Z125" s="87"/>
      <c r="AA125" s="87"/>
    </row>
    <row r="126" spans="1:28" s="84" customFormat="1" x14ac:dyDescent="0.3">
      <c r="A126" s="50"/>
      <c r="B126" s="50"/>
      <c r="C126" s="50"/>
      <c r="D126" s="52"/>
      <c r="E126" s="50"/>
      <c r="F126" s="50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87"/>
      <c r="S126" s="87"/>
      <c r="T126" s="87"/>
      <c r="U126" s="87"/>
      <c r="V126" s="87"/>
      <c r="W126" s="87"/>
      <c r="X126" s="87"/>
      <c r="Y126" s="87"/>
      <c r="Z126" s="87"/>
      <c r="AA126" s="87"/>
    </row>
    <row r="127" spans="1:28" s="84" customFormat="1" x14ac:dyDescent="0.3">
      <c r="A127" s="50"/>
      <c r="B127" s="50"/>
      <c r="C127" s="50"/>
      <c r="D127" s="52"/>
      <c r="E127" s="50"/>
      <c r="F127" s="50"/>
      <c r="G127" s="70">
        <v>2010</v>
      </c>
      <c r="H127" s="70">
        <v>2011</v>
      </c>
      <c r="I127" s="70">
        <v>2012</v>
      </c>
      <c r="J127" s="70">
        <v>2013</v>
      </c>
      <c r="K127" s="70">
        <v>2014</v>
      </c>
      <c r="L127" s="70">
        <v>2015</v>
      </c>
      <c r="M127" s="70">
        <v>2016</v>
      </c>
      <c r="N127" s="70">
        <v>2017</v>
      </c>
      <c r="O127" s="70">
        <v>2018</v>
      </c>
      <c r="P127" s="70">
        <v>2019</v>
      </c>
      <c r="Q127" s="70">
        <v>2020</v>
      </c>
      <c r="R127" s="70">
        <v>2021</v>
      </c>
      <c r="S127" s="70">
        <v>2022</v>
      </c>
      <c r="T127" s="70">
        <v>2023</v>
      </c>
      <c r="U127" s="70">
        <v>2024</v>
      </c>
      <c r="V127" s="70">
        <v>2025</v>
      </c>
      <c r="W127" s="70">
        <v>2026</v>
      </c>
      <c r="X127" s="70">
        <v>2027</v>
      </c>
      <c r="Y127" s="70">
        <v>2028</v>
      </c>
      <c r="Z127" s="70">
        <v>2029</v>
      </c>
      <c r="AA127" s="70">
        <v>2030</v>
      </c>
    </row>
    <row r="128" spans="1:28" s="84" customFormat="1" ht="27.5" x14ac:dyDescent="0.35">
      <c r="A128" s="50" t="s">
        <v>126</v>
      </c>
      <c r="B128" s="50"/>
      <c r="C128" s="50"/>
      <c r="D128" s="141"/>
      <c r="E128" s="141"/>
      <c r="F128" s="218" t="s">
        <v>47</v>
      </c>
      <c r="G128" s="219">
        <f>SUM(G116:G123)</f>
        <v>203.6523670588235</v>
      </c>
      <c r="H128" s="219">
        <f t="shared" ref="H128:P128" si="88">SUM(H116:H123)</f>
        <v>200.25585422315291</v>
      </c>
      <c r="I128" s="219">
        <f t="shared" si="88"/>
        <v>196.62237023116231</v>
      </c>
      <c r="J128" s="219">
        <f t="shared" si="88"/>
        <v>181.00294595484499</v>
      </c>
      <c r="K128" s="219">
        <f t="shared" si="88"/>
        <v>166.57890688496164</v>
      </c>
      <c r="L128" s="219">
        <f t="shared" si="88"/>
        <v>151.9210282542038</v>
      </c>
      <c r="M128" s="219">
        <f t="shared" si="88"/>
        <v>136.17773569511598</v>
      </c>
      <c r="N128" s="219">
        <f t="shared" si="88"/>
        <v>118.87289457839924</v>
      </c>
      <c r="O128" s="219">
        <f t="shared" si="88"/>
        <v>110.58128641127578</v>
      </c>
      <c r="P128" s="219">
        <f t="shared" si="88"/>
        <v>102.90597592427439</v>
      </c>
      <c r="Q128" s="219">
        <f>SUM(Q116:Q123)</f>
        <v>98.075430999759973</v>
      </c>
      <c r="R128" s="220">
        <f>R116+R118+R120+R122+R124</f>
        <v>94.050039213416241</v>
      </c>
      <c r="S128" s="220">
        <f t="shared" ref="S128:Z128" si="89">S116+S118+S120+S122+S124</f>
        <v>91.950835033488744</v>
      </c>
      <c r="T128" s="220">
        <f t="shared" si="89"/>
        <v>94.765225946868043</v>
      </c>
      <c r="U128" s="220">
        <f t="shared" si="89"/>
        <v>102.41427604914661</v>
      </c>
      <c r="V128" s="220">
        <f t="shared" si="89"/>
        <v>115.73751401855871</v>
      </c>
      <c r="W128" s="220">
        <f t="shared" si="89"/>
        <v>142.25244299770935</v>
      </c>
      <c r="X128" s="220">
        <f t="shared" si="89"/>
        <v>181.49651941864687</v>
      </c>
      <c r="Y128" s="220">
        <f t="shared" si="89"/>
        <v>237.21846870316199</v>
      </c>
      <c r="Z128" s="220">
        <f t="shared" si="89"/>
        <v>320.31197017249252</v>
      </c>
      <c r="AA128" s="220">
        <f>AA116+AA118+AA120+AA122+AA124</f>
        <v>445.62740445665224</v>
      </c>
    </row>
    <row r="129" spans="1:27" s="84" customFormat="1" ht="14.5" x14ac:dyDescent="0.35">
      <c r="A129" s="50"/>
      <c r="B129" s="50" t="s">
        <v>128</v>
      </c>
      <c r="C129" s="50">
        <v>7</v>
      </c>
      <c r="D129" s="141"/>
      <c r="E129" s="141"/>
      <c r="F129" s="221" t="s">
        <v>48</v>
      </c>
      <c r="G129" s="154">
        <f>G175</f>
        <v>162</v>
      </c>
      <c r="H129" s="154">
        <f t="shared" ref="H129:AA129" si="90">H175</f>
        <v>178</v>
      </c>
      <c r="I129" s="154">
        <f t="shared" si="90"/>
        <v>196.24</v>
      </c>
      <c r="J129" s="154">
        <f t="shared" si="90"/>
        <v>189.65969702127663</v>
      </c>
      <c r="K129" s="154">
        <f t="shared" si="90"/>
        <v>184.08601338553194</v>
      </c>
      <c r="L129" s="154">
        <f t="shared" si="90"/>
        <v>179.44746869781792</v>
      </c>
      <c r="M129" s="154">
        <f t="shared" si="90"/>
        <v>178.3749784510639</v>
      </c>
      <c r="N129" s="154">
        <f t="shared" si="90"/>
        <v>175.48403824422135</v>
      </c>
      <c r="O129" s="154">
        <f t="shared" si="90"/>
        <v>173.35974309145502</v>
      </c>
      <c r="P129" s="154">
        <f t="shared" si="90"/>
        <v>171.95511792064113</v>
      </c>
      <c r="Q129" s="154">
        <f>Q175</f>
        <v>171.22814105370821</v>
      </c>
      <c r="R129" s="154">
        <f t="shared" si="90"/>
        <v>171.14134109146875</v>
      </c>
      <c r="S129" s="154">
        <f t="shared" si="90"/>
        <v>173.80719846622486</v>
      </c>
      <c r="T129" s="154">
        <f t="shared" si="90"/>
        <v>179.29142197934556</v>
      </c>
      <c r="U129" s="154">
        <f t="shared" si="90"/>
        <v>187.79049610537172</v>
      </c>
      <c r="V129" s="154">
        <f t="shared" si="90"/>
        <v>199.64246734084227</v>
      </c>
      <c r="W129" s="154">
        <f t="shared" si="90"/>
        <v>222.9488690176</v>
      </c>
      <c r="X129" s="154">
        <f t="shared" si="90"/>
        <v>255.26656817614005</v>
      </c>
      <c r="Y129" s="154">
        <f t="shared" si="90"/>
        <v>296.1879146172372</v>
      </c>
      <c r="Z129" s="154">
        <f t="shared" si="90"/>
        <v>351.95004861788806</v>
      </c>
      <c r="AA129" s="154">
        <f t="shared" si="90"/>
        <v>428.00745525592885</v>
      </c>
    </row>
    <row r="130" spans="1:27" s="84" customFormat="1" ht="14.5" x14ac:dyDescent="0.35">
      <c r="A130" s="50"/>
      <c r="B130" s="50" t="s">
        <v>129</v>
      </c>
      <c r="C130" s="50">
        <v>37</v>
      </c>
      <c r="D130" s="141"/>
      <c r="E130" s="141"/>
      <c r="F130" s="225" t="s">
        <v>61</v>
      </c>
      <c r="G130" s="226">
        <f>SUM(G128:G129)</f>
        <v>365.65236705882353</v>
      </c>
      <c r="H130" s="226">
        <f t="shared" ref="H130:P130" si="91">SUM(H128:H129)</f>
        <v>378.25585422315294</v>
      </c>
      <c r="I130" s="226">
        <f t="shared" si="91"/>
        <v>392.86237023116234</v>
      </c>
      <c r="J130" s="226">
        <f t="shared" si="91"/>
        <v>370.66264297612162</v>
      </c>
      <c r="K130" s="226">
        <f t="shared" si="91"/>
        <v>350.66492027049355</v>
      </c>
      <c r="L130" s="226">
        <f t="shared" si="91"/>
        <v>331.3684969520217</v>
      </c>
      <c r="M130" s="226">
        <f t="shared" si="91"/>
        <v>314.55271414617988</v>
      </c>
      <c r="N130" s="226">
        <f t="shared" si="91"/>
        <v>294.35693282262059</v>
      </c>
      <c r="O130" s="226">
        <f t="shared" si="91"/>
        <v>283.94102950273077</v>
      </c>
      <c r="P130" s="226">
        <f t="shared" si="91"/>
        <v>274.8610938449155</v>
      </c>
      <c r="Q130" s="226">
        <f>SUM(Q128:Q129)</f>
        <v>269.3035720534682</v>
      </c>
      <c r="R130" s="226">
        <f t="shared" ref="R130:Z130" si="92">SUM(R128:R129)</f>
        <v>265.191380304885</v>
      </c>
      <c r="S130" s="226">
        <f t="shared" si="92"/>
        <v>265.75803349971363</v>
      </c>
      <c r="T130" s="226">
        <f t="shared" si="92"/>
        <v>274.0566479262136</v>
      </c>
      <c r="U130" s="226">
        <f t="shared" si="92"/>
        <v>290.20477215451831</v>
      </c>
      <c r="V130" s="226">
        <f t="shared" si="92"/>
        <v>315.37998135940097</v>
      </c>
      <c r="W130" s="226">
        <f t="shared" si="92"/>
        <v>365.20131201530933</v>
      </c>
      <c r="X130" s="226">
        <f t="shared" si="92"/>
        <v>436.76308759478695</v>
      </c>
      <c r="Y130" s="226">
        <f t="shared" si="92"/>
        <v>533.40638332039919</v>
      </c>
      <c r="Z130" s="226">
        <f t="shared" si="92"/>
        <v>672.26201879038058</v>
      </c>
      <c r="AA130" s="226">
        <f>SUM(AA128:AA129)</f>
        <v>873.63485971258115</v>
      </c>
    </row>
    <row r="131" spans="1:27" s="84" customFormat="1" ht="14.5" x14ac:dyDescent="0.35">
      <c r="A131" s="38"/>
      <c r="B131" s="50" t="s">
        <v>130</v>
      </c>
      <c r="C131" s="50">
        <v>2.9</v>
      </c>
      <c r="D131" s="141"/>
      <c r="E131" s="141"/>
      <c r="F131" s="221"/>
      <c r="G131" s="221"/>
      <c r="H131" s="221"/>
      <c r="I131" s="221"/>
      <c r="J131" s="152"/>
      <c r="K131" s="152"/>
      <c r="L131" s="152"/>
      <c r="M131" s="152"/>
      <c r="N131" s="152"/>
      <c r="O131" s="152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</row>
    <row r="132" spans="1:27" s="84" customFormat="1" ht="14.5" x14ac:dyDescent="0.35">
      <c r="A132" s="50"/>
      <c r="B132" s="50" t="s">
        <v>131</v>
      </c>
      <c r="C132" s="50">
        <v>0.6</v>
      </c>
      <c r="D132" s="141" t="s">
        <v>51</v>
      </c>
      <c r="E132" s="141"/>
      <c r="F132" s="223">
        <v>0.78</v>
      </c>
      <c r="G132" s="224">
        <f t="shared" ref="G132:O132" si="93">F132*$F$132</f>
        <v>0.60840000000000005</v>
      </c>
      <c r="H132" s="224">
        <f t="shared" si="93"/>
        <v>0.47455200000000003</v>
      </c>
      <c r="I132" s="224">
        <f t="shared" si="93"/>
        <v>0.37015056000000002</v>
      </c>
      <c r="J132" s="224">
        <f t="shared" si="93"/>
        <v>0.2887174368</v>
      </c>
      <c r="K132" s="224">
        <f t="shared" si="93"/>
        <v>0.22519960070400002</v>
      </c>
      <c r="L132" s="224">
        <f t="shared" si="93"/>
        <v>0.17565568854912003</v>
      </c>
      <c r="M132" s="224">
        <f t="shared" si="93"/>
        <v>0.13701143706831362</v>
      </c>
      <c r="N132" s="224">
        <f t="shared" si="93"/>
        <v>0.10686892091328462</v>
      </c>
      <c r="O132" s="224">
        <f t="shared" si="93"/>
        <v>8.3357758312362001E-2</v>
      </c>
      <c r="P132" s="325">
        <f t="shared" ref="P132:W132" si="94">O132*F136</f>
        <v>6.7519784233013219E-2</v>
      </c>
      <c r="Q132" s="325">
        <f t="shared" si="94"/>
        <v>5.5366223071070836E-2</v>
      </c>
      <c r="R132" s="325">
        <f t="shared" si="94"/>
        <v>4.5953965148988793E-2</v>
      </c>
      <c r="S132" s="325">
        <f t="shared" si="94"/>
        <v>3.8601330725150582E-2</v>
      </c>
      <c r="T132" s="325">
        <f t="shared" si="94"/>
        <v>3.396917103813251E-2</v>
      </c>
      <c r="U132" s="325">
        <f t="shared" si="94"/>
        <v>3.0572253934319261E-2</v>
      </c>
      <c r="V132" s="325">
        <f t="shared" si="94"/>
        <v>2.7820751080230528E-2</v>
      </c>
      <c r="W132" s="325">
        <f t="shared" si="94"/>
        <v>2.5873298504614391E-2</v>
      </c>
      <c r="X132" s="325">
        <f>W132*N136</f>
        <v>2.457963357938367E-2</v>
      </c>
      <c r="Y132" s="223"/>
      <c r="Z132" s="223"/>
      <c r="AA132" s="223"/>
    </row>
    <row r="133" spans="1:27" s="84" customFormat="1" x14ac:dyDescent="0.3">
      <c r="A133" s="50"/>
      <c r="B133" s="50" t="s">
        <v>132</v>
      </c>
      <c r="C133" s="50">
        <v>0.06</v>
      </c>
      <c r="D133" s="50"/>
      <c r="E133" s="73" t="s">
        <v>123</v>
      </c>
      <c r="F133" s="126">
        <v>2012</v>
      </c>
      <c r="G133" s="126">
        <v>2013</v>
      </c>
      <c r="H133" s="126">
        <v>2014</v>
      </c>
      <c r="I133" s="126">
        <v>2015</v>
      </c>
      <c r="J133" s="126">
        <v>2016</v>
      </c>
      <c r="K133" s="126">
        <v>2017</v>
      </c>
      <c r="L133" s="126">
        <v>2018</v>
      </c>
      <c r="M133" s="126">
        <v>2019</v>
      </c>
      <c r="N133" s="126">
        <v>2020</v>
      </c>
      <c r="O133" s="126">
        <v>2021</v>
      </c>
      <c r="P133" s="126">
        <v>2022</v>
      </c>
      <c r="Q133" s="126">
        <v>2023</v>
      </c>
      <c r="R133" s="126">
        <v>2024</v>
      </c>
      <c r="S133" s="126">
        <v>2025</v>
      </c>
      <c r="T133" s="126">
        <v>2026</v>
      </c>
      <c r="U133" s="126">
        <v>2027</v>
      </c>
      <c r="V133" s="126">
        <v>2028</v>
      </c>
      <c r="W133" s="126">
        <v>2029</v>
      </c>
      <c r="X133" s="126">
        <v>2030</v>
      </c>
      <c r="Y133" s="38"/>
      <c r="Z133" s="38"/>
      <c r="AA133" s="38"/>
    </row>
    <row r="134" spans="1:27" s="84" customFormat="1" x14ac:dyDescent="0.3">
      <c r="A134" s="81"/>
      <c r="B134" s="81"/>
      <c r="C134" s="82"/>
      <c r="D134" s="82"/>
      <c r="E134" s="82"/>
      <c r="F134" s="82">
        <v>0.95</v>
      </c>
      <c r="G134" s="82"/>
      <c r="H134" s="82"/>
      <c r="I134" s="82"/>
      <c r="J134" s="82"/>
      <c r="K134" s="82"/>
      <c r="L134" s="82"/>
      <c r="M134" s="82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</row>
    <row r="135" spans="1:27" s="84" customFormat="1" ht="27" x14ac:dyDescent="0.3">
      <c r="A135" s="81"/>
      <c r="B135" s="81"/>
      <c r="C135" s="82"/>
      <c r="D135" s="82"/>
      <c r="E135" s="82" t="s">
        <v>336</v>
      </c>
      <c r="F135" s="322">
        <v>0.8</v>
      </c>
      <c r="G135" s="322">
        <v>0.8</v>
      </c>
      <c r="H135" s="322">
        <v>0.8</v>
      </c>
      <c r="I135" s="322">
        <v>0.8</v>
      </c>
      <c r="J135" s="322">
        <v>0.8</v>
      </c>
      <c r="K135" s="322">
        <v>0.8</v>
      </c>
      <c r="L135" s="322">
        <v>0.8</v>
      </c>
      <c r="M135" s="322">
        <v>0.8</v>
      </c>
      <c r="N135" s="322">
        <v>0.8</v>
      </c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</row>
    <row r="136" spans="1:27" s="84" customFormat="1" ht="27" x14ac:dyDescent="0.3">
      <c r="A136" s="81"/>
      <c r="B136" s="81"/>
      <c r="C136" s="82"/>
      <c r="D136" s="82"/>
      <c r="E136" s="82" t="s">
        <v>334</v>
      </c>
      <c r="F136" s="322">
        <v>0.81</v>
      </c>
      <c r="G136" s="322">
        <v>0.82</v>
      </c>
      <c r="H136" s="322">
        <v>0.83</v>
      </c>
      <c r="I136" s="322">
        <v>0.84</v>
      </c>
      <c r="J136" s="322">
        <v>0.88</v>
      </c>
      <c r="K136" s="322">
        <v>0.9</v>
      </c>
      <c r="L136" s="322">
        <v>0.91</v>
      </c>
      <c r="M136" s="322">
        <v>0.93</v>
      </c>
      <c r="N136" s="323">
        <v>0.95</v>
      </c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</row>
    <row r="137" spans="1:27" s="84" customFormat="1" x14ac:dyDescent="0.3">
      <c r="A137" s="81"/>
      <c r="B137" s="81"/>
      <c r="C137" s="82"/>
      <c r="D137" s="82"/>
      <c r="E137" s="82"/>
      <c r="F137" s="322">
        <f>F132*F136</f>
        <v>0.63180000000000003</v>
      </c>
      <c r="G137" s="322">
        <f>F137*G136</f>
        <v>0.51807599999999998</v>
      </c>
      <c r="H137" s="322">
        <f t="shared" ref="H137:N137" si="95">G137*H136</f>
        <v>0.43000307999999998</v>
      </c>
      <c r="I137" s="322">
        <f t="shared" si="95"/>
        <v>0.36120258719999998</v>
      </c>
      <c r="J137" s="322">
        <f t="shared" si="95"/>
        <v>0.31785827673599998</v>
      </c>
      <c r="K137" s="322">
        <f t="shared" si="95"/>
        <v>0.28607244906239998</v>
      </c>
      <c r="L137" s="322">
        <f t="shared" si="95"/>
        <v>0.260325928646784</v>
      </c>
      <c r="M137" s="322">
        <f t="shared" si="95"/>
        <v>0.24210311364150913</v>
      </c>
      <c r="N137" s="322">
        <f t="shared" si="95"/>
        <v>0.22999795795943367</v>
      </c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</row>
    <row r="138" spans="1:27" s="84" customFormat="1" x14ac:dyDescent="0.3">
      <c r="A138" s="81"/>
      <c r="B138" s="81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</row>
    <row r="139" spans="1:27" s="84" customFormat="1" x14ac:dyDescent="0.3">
      <c r="A139" s="81"/>
      <c r="B139" s="81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</row>
    <row r="140" spans="1:27" s="84" customFormat="1" x14ac:dyDescent="0.3">
      <c r="A140" s="81"/>
      <c r="B140" s="81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</row>
    <row r="141" spans="1:27" x14ac:dyDescent="0.3">
      <c r="A141" s="50" t="s">
        <v>150</v>
      </c>
      <c r="B141" s="50"/>
      <c r="C141" s="56" t="s">
        <v>255</v>
      </c>
      <c r="D141" s="85"/>
      <c r="E141" s="55" t="s">
        <v>101</v>
      </c>
      <c r="F141" s="85"/>
      <c r="G141" s="86">
        <f>F55*$C$153</f>
        <v>262.47529411764697</v>
      </c>
      <c r="H141" s="86">
        <f>G55*$C$153*0.95</f>
        <v>249.3515294117646</v>
      </c>
      <c r="I141" s="86">
        <f t="shared" ref="I141:AA141" si="96">H55*$C$153*F$156</f>
        <v>236.22776470588227</v>
      </c>
      <c r="J141" s="86">
        <f t="shared" si="96"/>
        <v>212.60498823529406</v>
      </c>
      <c r="K141" s="86">
        <f t="shared" si="96"/>
        <v>191.34448941176467</v>
      </c>
      <c r="L141" s="86">
        <f t="shared" si="96"/>
        <v>172.21004047058821</v>
      </c>
      <c r="M141" s="86">
        <f t="shared" si="96"/>
        <v>154.9890364235294</v>
      </c>
      <c r="N141" s="86">
        <f t="shared" si="96"/>
        <v>139.49013278117647</v>
      </c>
      <c r="O141" s="86">
        <f t="shared" si="96"/>
        <v>125.54111950305881</v>
      </c>
      <c r="P141" s="86">
        <f t="shared" si="96"/>
        <v>112.98700755275294</v>
      </c>
      <c r="Q141" s="86">
        <f t="shared" si="96"/>
        <v>101.68830679747765</v>
      </c>
      <c r="R141" s="125">
        <f t="shared" si="96"/>
        <v>91.519476117729894</v>
      </c>
      <c r="S141" s="125">
        <f t="shared" si="96"/>
        <v>86.943502311843389</v>
      </c>
      <c r="T141" s="125">
        <f t="shared" si="96"/>
        <v>82.59632719625121</v>
      </c>
      <c r="U141" s="125">
        <f t="shared" si="96"/>
        <v>78.466510836438644</v>
      </c>
      <c r="V141" s="125">
        <f t="shared" si="96"/>
        <v>74.543185294616706</v>
      </c>
      <c r="W141" s="125">
        <f t="shared" si="96"/>
        <v>70.816026029885862</v>
      </c>
      <c r="X141" s="125">
        <f t="shared" si="96"/>
        <v>67.275224728391564</v>
      </c>
      <c r="Y141" s="125">
        <f t="shared" si="96"/>
        <v>63.911463491971986</v>
      </c>
      <c r="Z141" s="125">
        <f t="shared" si="96"/>
        <v>60.715890317373386</v>
      </c>
      <c r="AA141" s="125">
        <f t="shared" si="96"/>
        <v>57.680095801504706</v>
      </c>
    </row>
    <row r="142" spans="1:27" x14ac:dyDescent="0.3">
      <c r="A142" s="50"/>
      <c r="B142" s="50" t="s">
        <v>44</v>
      </c>
      <c r="C142" s="56" t="s">
        <v>122</v>
      </c>
      <c r="D142" s="52"/>
      <c r="E142" s="55" t="s">
        <v>101</v>
      </c>
      <c r="F142" s="50"/>
      <c r="G142" s="87">
        <f>F57*$C$154</f>
        <v>72.192000000000007</v>
      </c>
      <c r="H142" s="87">
        <f>G57*$C$154*0.95</f>
        <v>84.484943999999999</v>
      </c>
      <c r="I142" s="87">
        <f t="shared" ref="I142:AA142" si="97">H57*$C$154*F$156</f>
        <v>97.380014399999993</v>
      </c>
      <c r="J142" s="87">
        <f t="shared" si="97"/>
        <v>113.73985681919999</v>
      </c>
      <c r="K142" s="87">
        <f t="shared" si="97"/>
        <v>130.77240037787521</v>
      </c>
      <c r="L142" s="87">
        <f t="shared" si="97"/>
        <v>144.21860540244319</v>
      </c>
      <c r="M142" s="87">
        <f t="shared" si="97"/>
        <v>149.18340760544643</v>
      </c>
      <c r="N142" s="87">
        <f t="shared" si="97"/>
        <v>148.3447549356645</v>
      </c>
      <c r="O142" s="87">
        <f t="shared" si="97"/>
        <v>153.99075630851584</v>
      </c>
      <c r="P142" s="87">
        <f t="shared" si="97"/>
        <v>159.85164449361798</v>
      </c>
      <c r="Q142" s="87">
        <f t="shared" si="97"/>
        <v>164.30209515509645</v>
      </c>
      <c r="R142" s="87">
        <f t="shared" si="97"/>
        <v>175.22818448291127</v>
      </c>
      <c r="S142" s="87">
        <f t="shared" si="97"/>
        <v>166.46677525876569</v>
      </c>
      <c r="T142" s="87">
        <f t="shared" si="97"/>
        <v>158.14343649582739</v>
      </c>
      <c r="U142" s="87">
        <f t="shared" si="97"/>
        <v>150.23626467103603</v>
      </c>
      <c r="V142" s="87">
        <f t="shared" si="97"/>
        <v>142.72445143748419</v>
      </c>
      <c r="W142" s="87">
        <f t="shared" si="97"/>
        <v>135.58822886560998</v>
      </c>
      <c r="X142" s="87">
        <f t="shared" si="97"/>
        <v>128.80881742232947</v>
      </c>
      <c r="Y142" s="87">
        <f t="shared" si="97"/>
        <v>122.36837655121299</v>
      </c>
      <c r="Z142" s="87">
        <f t="shared" si="97"/>
        <v>116.24995772365233</v>
      </c>
      <c r="AA142" s="87">
        <f t="shared" si="97"/>
        <v>110.43745983746972</v>
      </c>
    </row>
    <row r="143" spans="1:27" x14ac:dyDescent="0.3">
      <c r="A143" s="50"/>
      <c r="B143" s="50"/>
      <c r="C143" s="50" t="s">
        <v>115</v>
      </c>
      <c r="D143" s="52"/>
      <c r="E143" s="55"/>
      <c r="F143" s="50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124">
        <f t="shared" ref="R143:AA143" si="98">Q60*$C$154*O$156</f>
        <v>176.73812771788806</v>
      </c>
      <c r="S143" s="124">
        <f t="shared" si="98"/>
        <v>167.90122133199364</v>
      </c>
      <c r="T143" s="124">
        <f t="shared" si="98"/>
        <v>159.50616026539396</v>
      </c>
      <c r="U143" s="124">
        <f t="shared" si="98"/>
        <v>151.53085225212425</v>
      </c>
      <c r="V143" s="124">
        <f t="shared" si="98"/>
        <v>143.95430963951802</v>
      </c>
      <c r="W143" s="124">
        <f t="shared" si="98"/>
        <v>136.75659415754211</v>
      </c>
      <c r="X143" s="124">
        <f t="shared" si="98"/>
        <v>129.91876444966499</v>
      </c>
      <c r="Y143" s="124">
        <f t="shared" si="98"/>
        <v>123.42282622718174</v>
      </c>
      <c r="Z143" s="124">
        <f t="shared" si="98"/>
        <v>117.25168491582265</v>
      </c>
      <c r="AA143" s="124">
        <f t="shared" si="98"/>
        <v>111.38910067003151</v>
      </c>
    </row>
    <row r="144" spans="1:27" x14ac:dyDescent="0.3">
      <c r="A144" s="50"/>
      <c r="B144" s="50"/>
      <c r="C144" s="56" t="s">
        <v>118</v>
      </c>
      <c r="D144" s="52"/>
      <c r="E144" s="55" t="s">
        <v>101</v>
      </c>
      <c r="F144" s="50"/>
      <c r="G144" s="87">
        <f>F62*$C$155</f>
        <v>6.72</v>
      </c>
      <c r="H144" s="87">
        <f>G62*$C$155*0.95</f>
        <v>12.9276</v>
      </c>
      <c r="I144" s="87">
        <f t="shared" ref="I144:AA144" si="99">H62*$C$155*F$156</f>
        <v>21.772800000000004</v>
      </c>
      <c r="J144" s="87">
        <f t="shared" si="99"/>
        <v>33.203519999999997</v>
      </c>
      <c r="K144" s="87">
        <f t="shared" si="99"/>
        <v>40.293287999999997</v>
      </c>
      <c r="L144" s="87">
        <f t="shared" si="99"/>
        <v>45.329949000000013</v>
      </c>
      <c r="M144" s="87">
        <f t="shared" si="99"/>
        <v>51.386801760000019</v>
      </c>
      <c r="N144" s="87">
        <f t="shared" si="99"/>
        <v>49.997969280000007</v>
      </c>
      <c r="O144" s="87">
        <f t="shared" si="99"/>
        <v>56.877689852928022</v>
      </c>
      <c r="P144" s="87">
        <f t="shared" si="99"/>
        <v>53.07754919962926</v>
      </c>
      <c r="Q144" s="87">
        <f t="shared" si="99"/>
        <v>50.317516641248559</v>
      </c>
      <c r="R144" s="87">
        <f t="shared" si="99"/>
        <v>51.10822047418246</v>
      </c>
      <c r="S144" s="87">
        <f t="shared" si="99"/>
        <v>48.552809450473326</v>
      </c>
      <c r="T144" s="87">
        <f t="shared" si="99"/>
        <v>46.125168977949656</v>
      </c>
      <c r="U144" s="87">
        <f t="shared" si="99"/>
        <v>43.818910529052175</v>
      </c>
      <c r="V144" s="87">
        <f t="shared" si="99"/>
        <v>41.627965002599559</v>
      </c>
      <c r="W144" s="87">
        <f t="shared" si="99"/>
        <v>39.54656675246958</v>
      </c>
      <c r="X144" s="87">
        <f t="shared" si="99"/>
        <v>37.569238414846097</v>
      </c>
      <c r="Y144" s="87">
        <f t="shared" si="99"/>
        <v>35.690776494103794</v>
      </c>
      <c r="Z144" s="87">
        <f t="shared" si="99"/>
        <v>33.9062376693986</v>
      </c>
      <c r="AA144" s="87">
        <f t="shared" si="99"/>
        <v>32.210925785928666</v>
      </c>
    </row>
    <row r="145" spans="1:27" x14ac:dyDescent="0.3">
      <c r="A145" s="50"/>
      <c r="B145" s="50"/>
      <c r="C145" s="50" t="s">
        <v>115</v>
      </c>
      <c r="D145" s="52"/>
      <c r="E145" s="55"/>
      <c r="F145" s="50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124">
        <f t="shared" ref="R145:AA145" si="100">Q65*$C$155*O$156</f>
        <v>51.548620584384032</v>
      </c>
      <c r="S145" s="124">
        <f t="shared" si="100"/>
        <v>48.971189555164827</v>
      </c>
      <c r="T145" s="124">
        <f t="shared" si="100"/>
        <v>46.522630077406582</v>
      </c>
      <c r="U145" s="124">
        <f t="shared" si="100"/>
        <v>44.196498573536246</v>
      </c>
      <c r="V145" s="124">
        <f t="shared" si="100"/>
        <v>41.986673644859437</v>
      </c>
      <c r="W145" s="124">
        <f t="shared" si="100"/>
        <v>39.887339962616458</v>
      </c>
      <c r="X145" s="124">
        <f t="shared" si="100"/>
        <v>37.892972964485637</v>
      </c>
      <c r="Y145" s="124">
        <f t="shared" si="100"/>
        <v>35.998324316261353</v>
      </c>
      <c r="Z145" s="124">
        <f t="shared" si="100"/>
        <v>34.198408100448283</v>
      </c>
      <c r="AA145" s="124">
        <f t="shared" si="100"/>
        <v>32.48848769542586</v>
      </c>
    </row>
    <row r="146" spans="1:27" x14ac:dyDescent="0.3">
      <c r="A146" s="50"/>
      <c r="B146" s="50"/>
      <c r="C146" s="56" t="s">
        <v>116</v>
      </c>
      <c r="D146" s="52"/>
      <c r="E146" s="55" t="s">
        <v>101</v>
      </c>
      <c r="F146" s="50" t="s">
        <v>14</v>
      </c>
      <c r="G146" s="87">
        <f>F67*$C$156</f>
        <v>0.15782400000000002</v>
      </c>
      <c r="H146" s="87">
        <f>G67*$C$156*0.95</f>
        <v>0.50602320000000001</v>
      </c>
      <c r="I146" s="87">
        <f t="shared" ref="I146:AA146" si="101">H67*$C$156*F$156</f>
        <v>1.4648040000000004</v>
      </c>
      <c r="J146" s="87">
        <f t="shared" si="101"/>
        <v>4.4743104000000011</v>
      </c>
      <c r="K146" s="87">
        <f>J67*$C$156*H$156</f>
        <v>13.422931199999999</v>
      </c>
      <c r="L146" s="87">
        <f t="shared" si="101"/>
        <v>27.882544140000011</v>
      </c>
      <c r="M146" s="87">
        <f t="shared" si="101"/>
        <v>46.693823436000024</v>
      </c>
      <c r="N146" s="87">
        <f t="shared" si="101"/>
        <v>73.389876336000015</v>
      </c>
      <c r="O146" s="87">
        <f t="shared" si="101"/>
        <v>111.31776442644484</v>
      </c>
      <c r="P146" s="87">
        <f t="shared" si="101"/>
        <v>171.15523722182496</v>
      </c>
      <c r="Q146" s="87">
        <f t="shared" si="101"/>
        <v>253.23060415779378</v>
      </c>
      <c r="R146" s="87">
        <f t="shared" si="101"/>
        <v>352.09183202099643</v>
      </c>
      <c r="S146" s="87">
        <f t="shared" si="101"/>
        <v>480.44530896683233</v>
      </c>
      <c r="T146" s="87">
        <f t="shared" si="101"/>
        <v>676.07663321176426</v>
      </c>
      <c r="U146" s="87">
        <f t="shared" si="101"/>
        <v>879.48555625741039</v>
      </c>
      <c r="V146" s="87">
        <f t="shared" si="101"/>
        <v>1117.0143091820082</v>
      </c>
      <c r="W146" s="87">
        <f t="shared" si="101"/>
        <v>1061.1635937229078</v>
      </c>
      <c r="X146" s="87">
        <f t="shared" si="101"/>
        <v>1008.1054140367623</v>
      </c>
      <c r="Y146" s="87">
        <f t="shared" si="101"/>
        <v>957.70014333492418</v>
      </c>
      <c r="Z146" s="87">
        <f t="shared" si="101"/>
        <v>909.8151361681779</v>
      </c>
      <c r="AA146" s="87">
        <f t="shared" si="101"/>
        <v>864.32437935976895</v>
      </c>
    </row>
    <row r="147" spans="1:27" x14ac:dyDescent="0.3">
      <c r="A147" s="50"/>
      <c r="B147" s="50"/>
      <c r="C147" s="50" t="s">
        <v>115</v>
      </c>
      <c r="D147" s="52"/>
      <c r="E147" s="55"/>
      <c r="F147" s="50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124">
        <f t="shared" ref="R147:AA147" si="102">Q70*$C$156*O$156</f>
        <v>355.12581129447648</v>
      </c>
      <c r="S147" s="124">
        <f t="shared" si="102"/>
        <v>490.71930287964028</v>
      </c>
      <c r="T147" s="124">
        <f t="shared" si="102"/>
        <v>699.27500660348744</v>
      </c>
      <c r="U147" s="124">
        <f t="shared" si="102"/>
        <v>921.17827536566062</v>
      </c>
      <c r="V147" s="124">
        <f t="shared" si="102"/>
        <v>1184.7769818549114</v>
      </c>
      <c r="W147" s="124">
        <f t="shared" si="102"/>
        <v>1125.5381327621658</v>
      </c>
      <c r="X147" s="124">
        <f t="shared" si="102"/>
        <v>1069.2612261240572</v>
      </c>
      <c r="Y147" s="124">
        <f t="shared" si="102"/>
        <v>1015.7981648178544</v>
      </c>
      <c r="Z147" s="124">
        <f t="shared" si="102"/>
        <v>965.00825657696157</v>
      </c>
      <c r="AA147" s="124">
        <f t="shared" si="102"/>
        <v>916.75784374811349</v>
      </c>
    </row>
    <row r="148" spans="1:27" x14ac:dyDescent="0.3">
      <c r="A148" s="50"/>
      <c r="B148" s="50"/>
      <c r="C148" s="56" t="s">
        <v>117</v>
      </c>
      <c r="D148" s="52"/>
      <c r="E148" s="55" t="s">
        <v>101</v>
      </c>
      <c r="F148" s="50"/>
      <c r="G148" s="87">
        <f>F72*$C$157</f>
        <v>1.4601653219870059E-17</v>
      </c>
      <c r="H148" s="87">
        <f>G72*$C$157*0.95</f>
        <v>-2.6144531999999464E-3</v>
      </c>
      <c r="I148" s="87">
        <f t="shared" ref="I148:AA148" si="103">H72*$C$157*F$156</f>
        <v>-6.1654932000000683E-4</v>
      </c>
      <c r="J148" s="87">
        <f t="shared" si="103"/>
        <v>-6.0466896057599692E-3</v>
      </c>
      <c r="K148" s="87">
        <f t="shared" si="103"/>
        <v>-1.1650207294222588E-2</v>
      </c>
      <c r="L148" s="87">
        <f t="shared" si="103"/>
        <v>1.3006624496632143E-2</v>
      </c>
      <c r="M148" s="87">
        <f t="shared" si="103"/>
        <v>-8.0966109686541818E-3</v>
      </c>
      <c r="N148" s="87">
        <f t="shared" si="103"/>
        <v>-1.8814943414651349E-2</v>
      </c>
      <c r="O148" s="87">
        <f t="shared" si="103"/>
        <v>2.9170481775555875E-2</v>
      </c>
      <c r="P148" s="55">
        <f t="shared" si="103"/>
        <v>4.6110096413376662E-2</v>
      </c>
      <c r="Q148" s="55">
        <f t="shared" si="103"/>
        <v>0.28136733795310753</v>
      </c>
      <c r="R148" s="87">
        <f t="shared" si="103"/>
        <v>2.2005739501312251</v>
      </c>
      <c r="S148" s="87">
        <f t="shared" si="103"/>
        <v>9.5404883347052927</v>
      </c>
      <c r="T148" s="87">
        <f t="shared" si="103"/>
        <v>20.188775603733241</v>
      </c>
      <c r="U148" s="87">
        <f t="shared" si="103"/>
        <v>45.127158006214088</v>
      </c>
      <c r="V148" s="87">
        <f t="shared" si="103"/>
        <v>89.273811108746301</v>
      </c>
      <c r="W148" s="87">
        <f t="shared" si="103"/>
        <v>196.71464498227016</v>
      </c>
      <c r="X148" s="87">
        <f t="shared" si="103"/>
        <v>354.8476039010273</v>
      </c>
      <c r="Y148" s="87">
        <f t="shared" si="103"/>
        <v>589.22622914894998</v>
      </c>
      <c r="Z148" s="87">
        <f t="shared" si="103"/>
        <v>938.1985468614065</v>
      </c>
      <c r="AA148" s="87">
        <f t="shared" si="103"/>
        <v>1459.3174969023617</v>
      </c>
    </row>
    <row r="149" spans="1:27" x14ac:dyDescent="0.3">
      <c r="A149" s="50"/>
      <c r="B149" s="50"/>
      <c r="C149" s="50" t="s">
        <v>115</v>
      </c>
      <c r="D149" s="52"/>
      <c r="E149" s="55"/>
      <c r="F149" s="50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124">
        <f t="shared" ref="R149:AA149" si="104">Q75*$C$157*O$156</f>
        <v>2.2195363205904757</v>
      </c>
      <c r="S149" s="124">
        <f t="shared" si="104"/>
        <v>9.744505144208043</v>
      </c>
      <c r="T149" s="124">
        <f t="shared" si="104"/>
        <v>20.881517715751201</v>
      </c>
      <c r="U149" s="124">
        <f t="shared" si="104"/>
        <v>47.26644717306884</v>
      </c>
      <c r="V149" s="124">
        <f t="shared" si="104"/>
        <v>94.689526906384188</v>
      </c>
      <c r="W149" s="124">
        <f t="shared" si="104"/>
        <v>211.28927872734883</v>
      </c>
      <c r="X149" s="124">
        <f t="shared" si="104"/>
        <v>385.96288132446898</v>
      </c>
      <c r="Y149" s="124">
        <f t="shared" si="104"/>
        <v>649.00587710782986</v>
      </c>
      <c r="Z149" s="124">
        <f t="shared" si="104"/>
        <v>1046.4638016797544</v>
      </c>
      <c r="AA149" s="124">
        <f t="shared" si="104"/>
        <v>1648.3223203780983</v>
      </c>
    </row>
    <row r="150" spans="1:27" x14ac:dyDescent="0.3">
      <c r="A150" s="50"/>
      <c r="B150" s="50"/>
      <c r="C150" s="50"/>
      <c r="D150" s="52"/>
      <c r="E150" s="50"/>
      <c r="F150" s="50"/>
      <c r="G150" s="87"/>
      <c r="H150" s="87"/>
      <c r="I150" s="88"/>
      <c r="J150" s="88"/>
      <c r="K150" s="88"/>
      <c r="L150" s="88"/>
      <c r="M150" s="88"/>
      <c r="N150" s="88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</row>
    <row r="151" spans="1:27" x14ac:dyDescent="0.3">
      <c r="A151" s="50"/>
      <c r="B151" s="50"/>
      <c r="C151" s="50"/>
      <c r="D151" s="52"/>
      <c r="E151" s="50"/>
      <c r="F151" s="50"/>
      <c r="G151" s="70">
        <v>2010</v>
      </c>
      <c r="H151" s="70">
        <v>2011</v>
      </c>
      <c r="I151" s="70">
        <v>2012</v>
      </c>
      <c r="J151" s="70">
        <v>2013</v>
      </c>
      <c r="K151" s="70">
        <v>2014</v>
      </c>
      <c r="L151" s="70">
        <v>2015</v>
      </c>
      <c r="M151" s="70">
        <v>2016</v>
      </c>
      <c r="N151" s="70">
        <v>2017</v>
      </c>
      <c r="O151" s="70">
        <v>2018</v>
      </c>
      <c r="P151" s="70">
        <v>2019</v>
      </c>
      <c r="Q151" s="70">
        <v>2020</v>
      </c>
      <c r="R151" s="70">
        <v>2021</v>
      </c>
      <c r="S151" s="70">
        <v>2022</v>
      </c>
      <c r="T151" s="70">
        <v>2023</v>
      </c>
      <c r="U151" s="70">
        <v>2024</v>
      </c>
      <c r="V151" s="70">
        <v>2025</v>
      </c>
      <c r="W151" s="70">
        <v>2026</v>
      </c>
      <c r="X151" s="70">
        <v>2027</v>
      </c>
      <c r="Y151" s="70">
        <v>2028</v>
      </c>
      <c r="Z151" s="70">
        <v>2029</v>
      </c>
      <c r="AA151" s="70">
        <v>2030</v>
      </c>
    </row>
    <row r="152" spans="1:27" ht="14.5" x14ac:dyDescent="0.35">
      <c r="A152" s="50" t="s">
        <v>125</v>
      </c>
      <c r="B152" s="50"/>
      <c r="C152" s="50"/>
      <c r="D152" s="90"/>
      <c r="E152" s="227"/>
      <c r="F152" s="228" t="s">
        <v>47</v>
      </c>
      <c r="G152" s="229">
        <f>SUM(G141:G148)</f>
        <v>341.54511811764701</v>
      </c>
      <c r="H152" s="229">
        <f t="shared" ref="H152:P152" si="105">SUM(H141:H148)</f>
        <v>347.26748215856458</v>
      </c>
      <c r="I152" s="229">
        <f t="shared" si="105"/>
        <v>356.84476655656232</v>
      </c>
      <c r="J152" s="229">
        <f t="shared" si="105"/>
        <v>364.01662876488831</v>
      </c>
      <c r="K152" s="229">
        <f t="shared" si="105"/>
        <v>375.8214587823457</v>
      </c>
      <c r="L152" s="229">
        <f t="shared" si="105"/>
        <v>389.65414563752807</v>
      </c>
      <c r="M152" s="229">
        <f t="shared" si="105"/>
        <v>402.24497261400722</v>
      </c>
      <c r="N152" s="229">
        <f t="shared" si="105"/>
        <v>411.20391838942635</v>
      </c>
      <c r="O152" s="229">
        <f>SUM(O141:O148)</f>
        <v>447.7565005727231</v>
      </c>
      <c r="P152" s="229">
        <f t="shared" si="105"/>
        <v>497.11754856423858</v>
      </c>
      <c r="Q152" s="229">
        <f>SUM(Q141:Q148)</f>
        <v>569.81989008956964</v>
      </c>
      <c r="R152" s="229">
        <f>R141+R143+R145+R147+R149</f>
        <v>677.15157203506885</v>
      </c>
      <c r="S152" s="229">
        <f t="shared" ref="S152:Z152" si="106">S141+S143+S145+S147+S149</f>
        <v>804.27972122285018</v>
      </c>
      <c r="T152" s="229">
        <f t="shared" si="106"/>
        <v>1008.7816418582904</v>
      </c>
      <c r="U152" s="229">
        <f t="shared" si="106"/>
        <v>1242.6385842008287</v>
      </c>
      <c r="V152" s="229">
        <f t="shared" si="106"/>
        <v>1539.9506773402898</v>
      </c>
      <c r="W152" s="229">
        <f t="shared" si="106"/>
        <v>1584.2873716395591</v>
      </c>
      <c r="X152" s="229">
        <f>X141+X143+X145+X147+X149</f>
        <v>1690.3110695910684</v>
      </c>
      <c r="Y152" s="229">
        <f t="shared" si="106"/>
        <v>1888.1366559610992</v>
      </c>
      <c r="Z152" s="229">
        <f t="shared" si="106"/>
        <v>2223.6380415903604</v>
      </c>
      <c r="AA152" s="229">
        <f>AA141+AA143+AA145+AA147+AA149</f>
        <v>2766.6378482931741</v>
      </c>
    </row>
    <row r="153" spans="1:27" ht="14.5" x14ac:dyDescent="0.35">
      <c r="B153" s="50" t="s">
        <v>128</v>
      </c>
      <c r="C153" s="50">
        <v>14</v>
      </c>
      <c r="D153" s="91"/>
      <c r="E153" s="230"/>
      <c r="F153" s="228" t="s">
        <v>48</v>
      </c>
      <c r="G153" s="231">
        <f>G180+G198</f>
        <v>204.1</v>
      </c>
      <c r="H153" s="231">
        <f t="shared" ref="H153:Z153" si="107">H180+H198</f>
        <v>224.4</v>
      </c>
      <c r="I153" s="231">
        <f t="shared" si="107"/>
        <v>247.64000000000001</v>
      </c>
      <c r="J153" s="231">
        <f t="shared" si="107"/>
        <v>296.17891276595742</v>
      </c>
      <c r="K153" s="231">
        <f t="shared" si="107"/>
        <v>356.44877506914895</v>
      </c>
      <c r="L153" s="231">
        <f t="shared" si="107"/>
        <v>431.58031052182179</v>
      </c>
      <c r="M153" s="231">
        <f t="shared" si="107"/>
        <v>525.5717197157212</v>
      </c>
      <c r="N153" s="231">
        <f t="shared" si="107"/>
        <v>643.53217436800969</v>
      </c>
      <c r="O153" s="231">
        <f t="shared" si="107"/>
        <v>791.99395351408486</v>
      </c>
      <c r="P153" s="231">
        <f t="shared" si="107"/>
        <v>979.31259970848419</v>
      </c>
      <c r="Q153" s="231">
        <f t="shared" si="107"/>
        <v>1216.1799462280183</v>
      </c>
      <c r="R153" s="231">
        <f t="shared" si="107"/>
        <v>1516.2818853212452</v>
      </c>
      <c r="S153" s="231">
        <f t="shared" si="107"/>
        <v>1897.1417493545619</v>
      </c>
      <c r="T153" s="231">
        <f t="shared" si="107"/>
        <v>2381.2017213845711</v>
      </c>
      <c r="U153" s="231">
        <f t="shared" si="107"/>
        <v>2997.2094975880123</v>
      </c>
      <c r="V153" s="231">
        <f t="shared" si="107"/>
        <v>3781.9964123858131</v>
      </c>
      <c r="W153" s="231">
        <f t="shared" si="107"/>
        <v>4782.7575895489426</v>
      </c>
      <c r="X153" s="231">
        <f t="shared" si="107"/>
        <v>6059.9759143970896</v>
      </c>
      <c r="Y153" s="231">
        <f t="shared" si="107"/>
        <v>7691.1716768013903</v>
      </c>
      <c r="Z153" s="231">
        <f t="shared" si="107"/>
        <v>9775.7111044942139</v>
      </c>
      <c r="AA153" s="231">
        <f>AA180+AA198</f>
        <v>12440.972887692435</v>
      </c>
    </row>
    <row r="154" spans="1:27" ht="14.5" x14ac:dyDescent="0.35">
      <c r="A154" s="50"/>
      <c r="B154" s="50" t="s">
        <v>129</v>
      </c>
      <c r="C154" s="50">
        <v>40</v>
      </c>
      <c r="D154" s="91"/>
      <c r="E154" s="230"/>
      <c r="F154" s="227" t="s">
        <v>61</v>
      </c>
      <c r="G154" s="236">
        <f>SUM(G152:G153)</f>
        <v>545.64511811764703</v>
      </c>
      <c r="H154" s="236">
        <f t="shared" ref="H154:Z154" si="108">SUM(H152:H153)</f>
        <v>571.66748215856455</v>
      </c>
      <c r="I154" s="236">
        <f t="shared" si="108"/>
        <v>604.48476655656236</v>
      </c>
      <c r="J154" s="236">
        <f t="shared" si="108"/>
        <v>660.19554153084573</v>
      </c>
      <c r="K154" s="236">
        <f t="shared" si="108"/>
        <v>732.2702338514946</v>
      </c>
      <c r="L154" s="236">
        <f t="shared" si="108"/>
        <v>821.23445615934986</v>
      </c>
      <c r="M154" s="236">
        <f t="shared" si="108"/>
        <v>927.81669232972843</v>
      </c>
      <c r="N154" s="236">
        <f t="shared" si="108"/>
        <v>1054.7360927574359</v>
      </c>
      <c r="O154" s="236">
        <f t="shared" si="108"/>
        <v>1239.7504540868081</v>
      </c>
      <c r="P154" s="236">
        <f t="shared" si="108"/>
        <v>1476.4301482727228</v>
      </c>
      <c r="Q154" s="236">
        <f t="shared" si="108"/>
        <v>1785.9998363175878</v>
      </c>
      <c r="R154" s="236">
        <f t="shared" si="108"/>
        <v>2193.4334573563142</v>
      </c>
      <c r="S154" s="236">
        <f t="shared" si="108"/>
        <v>2701.421470577412</v>
      </c>
      <c r="T154" s="236">
        <f t="shared" si="108"/>
        <v>3389.9833632428617</v>
      </c>
      <c r="U154" s="236">
        <f t="shared" si="108"/>
        <v>4239.8480817888412</v>
      </c>
      <c r="V154" s="236">
        <f t="shared" si="108"/>
        <v>5321.9470897261026</v>
      </c>
      <c r="W154" s="236">
        <f t="shared" si="108"/>
        <v>6367.0449611885015</v>
      </c>
      <c r="X154" s="236">
        <f t="shared" si="108"/>
        <v>7750.2869839881578</v>
      </c>
      <c r="Y154" s="236">
        <f t="shared" si="108"/>
        <v>9579.30833276249</v>
      </c>
      <c r="Z154" s="236">
        <f t="shared" si="108"/>
        <v>11999.349146084574</v>
      </c>
      <c r="AA154" s="236">
        <f>SUM(AA152:AA153)</f>
        <v>15207.610735985609</v>
      </c>
    </row>
    <row r="155" spans="1:27" ht="14.5" x14ac:dyDescent="0.35">
      <c r="A155" s="50" t="s">
        <v>44</v>
      </c>
      <c r="B155" s="50" t="s">
        <v>130</v>
      </c>
      <c r="C155" s="50">
        <v>3.5</v>
      </c>
      <c r="D155" s="93" t="s">
        <v>50</v>
      </c>
      <c r="E155" s="140"/>
      <c r="F155" s="230"/>
      <c r="G155" s="230"/>
      <c r="H155" s="230"/>
      <c r="I155" s="230"/>
      <c r="J155" s="153"/>
      <c r="K155" s="153"/>
      <c r="L155" s="153"/>
      <c r="M155" s="153"/>
      <c r="N155" s="233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</row>
    <row r="156" spans="1:27" ht="14.5" x14ac:dyDescent="0.35">
      <c r="A156" s="50"/>
      <c r="B156" s="50" t="s">
        <v>131</v>
      </c>
      <c r="C156" s="50">
        <v>1.37</v>
      </c>
      <c r="D156" s="94" t="s">
        <v>51</v>
      </c>
      <c r="E156" s="140"/>
      <c r="F156" s="234">
        <v>0.9</v>
      </c>
      <c r="G156" s="234">
        <f t="shared" ref="G156:O156" si="109">F156*$F$156</f>
        <v>0.81</v>
      </c>
      <c r="H156" s="235">
        <f t="shared" si="109"/>
        <v>0.72900000000000009</v>
      </c>
      <c r="I156" s="235">
        <f t="shared" si="109"/>
        <v>0.65610000000000013</v>
      </c>
      <c r="J156" s="235">
        <f t="shared" si="109"/>
        <v>0.59049000000000018</v>
      </c>
      <c r="K156" s="235">
        <f t="shared" si="109"/>
        <v>0.53144100000000016</v>
      </c>
      <c r="L156" s="235">
        <f t="shared" si="109"/>
        <v>0.47829690000000014</v>
      </c>
      <c r="M156" s="235">
        <f t="shared" si="109"/>
        <v>0.43046721000000016</v>
      </c>
      <c r="N156" s="235">
        <f t="shared" si="109"/>
        <v>0.38742048900000015</v>
      </c>
      <c r="O156" s="235">
        <f t="shared" si="109"/>
        <v>0.34867844010000015</v>
      </c>
      <c r="P156" s="235">
        <f>O156*$F$158</f>
        <v>0.33124451809500011</v>
      </c>
      <c r="Q156" s="235">
        <f t="shared" ref="Q156:X156" si="110">P156*$F$158</f>
        <v>0.31468229219025007</v>
      </c>
      <c r="R156" s="235">
        <f>Q156*$F$158</f>
        <v>0.29894817758073755</v>
      </c>
      <c r="S156" s="235">
        <f t="shared" si="110"/>
        <v>0.28400076870170066</v>
      </c>
      <c r="T156" s="235">
        <f t="shared" si="110"/>
        <v>0.26980073026661561</v>
      </c>
      <c r="U156" s="235">
        <f t="shared" si="110"/>
        <v>0.2563106937532848</v>
      </c>
      <c r="V156" s="235">
        <f t="shared" si="110"/>
        <v>0.24349515906562055</v>
      </c>
      <c r="W156" s="235">
        <f t="shared" si="110"/>
        <v>0.23132040111233951</v>
      </c>
      <c r="X156" s="235">
        <f t="shared" si="110"/>
        <v>0.21975438105672251</v>
      </c>
      <c r="Y156" s="234"/>
      <c r="Z156" s="234"/>
      <c r="AA156" s="234"/>
    </row>
    <row r="157" spans="1:27" x14ac:dyDescent="0.3">
      <c r="A157" s="50"/>
      <c r="B157" s="50" t="s">
        <v>132</v>
      </c>
      <c r="C157" s="50">
        <v>0.13700000000000001</v>
      </c>
      <c r="D157" s="92"/>
      <c r="E157" s="73" t="s">
        <v>123</v>
      </c>
      <c r="F157" s="126">
        <v>2012</v>
      </c>
      <c r="G157" s="126">
        <v>2013</v>
      </c>
      <c r="H157" s="126">
        <v>2014</v>
      </c>
      <c r="I157" s="126">
        <v>2015</v>
      </c>
      <c r="J157" s="126">
        <v>2016</v>
      </c>
      <c r="K157" s="126">
        <v>2017</v>
      </c>
      <c r="L157" s="126">
        <v>2018</v>
      </c>
      <c r="M157" s="126">
        <v>2019</v>
      </c>
      <c r="N157" s="126">
        <v>2020</v>
      </c>
      <c r="O157" s="126">
        <v>2021</v>
      </c>
      <c r="P157" s="126">
        <v>2022</v>
      </c>
      <c r="Q157" s="126">
        <v>2023</v>
      </c>
      <c r="R157" s="126">
        <v>2024</v>
      </c>
      <c r="S157" s="126">
        <v>2025</v>
      </c>
      <c r="T157" s="126">
        <v>2026</v>
      </c>
      <c r="U157" s="126">
        <v>2027</v>
      </c>
      <c r="V157" s="126">
        <v>2028</v>
      </c>
      <c r="W157" s="126">
        <v>2029</v>
      </c>
      <c r="X157" s="126">
        <v>2030</v>
      </c>
    </row>
    <row r="158" spans="1:27" x14ac:dyDescent="0.3">
      <c r="A158" s="50"/>
      <c r="C158" s="95"/>
      <c r="D158" s="92"/>
      <c r="E158" s="50"/>
      <c r="F158" s="70">
        <v>0.95</v>
      </c>
    </row>
    <row r="159" spans="1:27" x14ac:dyDescent="0.3">
      <c r="A159" s="50"/>
      <c r="B159" s="50"/>
      <c r="C159" s="95"/>
      <c r="D159" s="92"/>
      <c r="E159" s="50"/>
      <c r="F159" s="50"/>
      <c r="G159" s="70">
        <v>2010</v>
      </c>
      <c r="H159" s="70">
        <v>2011</v>
      </c>
      <c r="I159" s="70">
        <v>2012</v>
      </c>
      <c r="J159" s="70">
        <v>2013</v>
      </c>
      <c r="K159" s="70">
        <v>2014</v>
      </c>
      <c r="L159" s="70">
        <v>2015</v>
      </c>
      <c r="M159" s="70">
        <v>2016</v>
      </c>
      <c r="N159" s="70">
        <v>2017</v>
      </c>
      <c r="O159" s="70">
        <v>2018</v>
      </c>
      <c r="P159" s="70">
        <v>2019</v>
      </c>
      <c r="Q159" s="70">
        <v>2020</v>
      </c>
      <c r="R159" s="70">
        <v>2021</v>
      </c>
      <c r="S159" s="70">
        <v>2022</v>
      </c>
      <c r="T159" s="70">
        <v>2023</v>
      </c>
      <c r="U159" s="70">
        <v>2024</v>
      </c>
      <c r="V159" s="70">
        <v>2025</v>
      </c>
      <c r="W159" s="70">
        <v>2026</v>
      </c>
      <c r="X159" s="70">
        <v>2027</v>
      </c>
      <c r="Y159" s="70">
        <v>2028</v>
      </c>
      <c r="Z159" s="70">
        <v>2029</v>
      </c>
      <c r="AA159" s="70">
        <v>2030</v>
      </c>
    </row>
    <row r="160" spans="1:27" x14ac:dyDescent="0.3">
      <c r="A160" s="50"/>
      <c r="B160" s="50"/>
      <c r="C160" s="95"/>
      <c r="D160" s="92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4" spans="1:28" ht="30.5" x14ac:dyDescent="0.6">
      <c r="L164" s="130" t="s">
        <v>275</v>
      </c>
    </row>
    <row r="167" spans="1:28" x14ac:dyDescent="0.3">
      <c r="D167" s="98"/>
      <c r="F167" s="99"/>
    </row>
    <row r="168" spans="1:28" x14ac:dyDescent="0.3">
      <c r="D168" s="98"/>
      <c r="F168" s="99"/>
    </row>
    <row r="169" spans="1:28" x14ac:dyDescent="0.3">
      <c r="G169" s="70">
        <v>2010</v>
      </c>
      <c r="H169" s="70">
        <v>2011</v>
      </c>
      <c r="I169" s="70">
        <v>2012</v>
      </c>
      <c r="J169" s="70">
        <v>2013</v>
      </c>
      <c r="K169" s="70">
        <v>2014</v>
      </c>
      <c r="L169" s="70">
        <v>2015</v>
      </c>
      <c r="M169" s="70">
        <v>2016</v>
      </c>
      <c r="N169" s="70">
        <v>2017</v>
      </c>
      <c r="O169" s="70">
        <v>2018</v>
      </c>
      <c r="P169" s="70">
        <v>2019</v>
      </c>
      <c r="Q169" s="70">
        <v>2020</v>
      </c>
      <c r="R169" s="70">
        <v>2021</v>
      </c>
      <c r="S169" s="70">
        <v>2022</v>
      </c>
      <c r="T169" s="70">
        <v>2023</v>
      </c>
      <c r="U169" s="70">
        <v>2024</v>
      </c>
      <c r="V169" s="70">
        <v>2025</v>
      </c>
      <c r="W169" s="70">
        <v>2026</v>
      </c>
      <c r="X169" s="70">
        <v>2027</v>
      </c>
      <c r="Y169" s="70">
        <v>2028</v>
      </c>
      <c r="Z169" s="70">
        <v>2029</v>
      </c>
      <c r="AA169" s="70">
        <v>2030</v>
      </c>
    </row>
    <row r="171" spans="1:28" ht="40.5" x14ac:dyDescent="0.3">
      <c r="A171" s="38" t="s">
        <v>94</v>
      </c>
      <c r="B171" s="50" t="s">
        <v>157</v>
      </c>
      <c r="C171" s="38" t="s">
        <v>256</v>
      </c>
      <c r="G171" s="89">
        <f>Traffic!B13</f>
        <v>325</v>
      </c>
      <c r="H171" s="89">
        <f>Traffic!C13</f>
        <v>390</v>
      </c>
      <c r="I171" s="89">
        <f>Traffic!D13</f>
        <v>470</v>
      </c>
      <c r="J171" s="89">
        <f>Traffic!E13</f>
        <v>555.09999999999991</v>
      </c>
      <c r="K171" s="89">
        <f>Traffic!F13</f>
        <v>657.26299999999992</v>
      </c>
      <c r="L171" s="89">
        <f>Traffic!G13</f>
        <v>780.20718999999985</v>
      </c>
      <c r="M171" s="89">
        <f>Traffic!H13</f>
        <v>928.5091246999998</v>
      </c>
      <c r="N171" s="89">
        <f>Traffic!I13</f>
        <v>1107.8090609109997</v>
      </c>
      <c r="O171" s="89">
        <f>Traffic!J13</f>
        <v>1325.0664263294298</v>
      </c>
      <c r="P171" s="89">
        <f>Traffic!K13</f>
        <v>1588.8777961272554</v>
      </c>
      <c r="Q171" s="89">
        <f>Traffic!L13</f>
        <v>1909.8728275925487</v>
      </c>
      <c r="R171" s="89">
        <f>Traffic!M13</f>
        <v>2301.2074426405175</v>
      </c>
      <c r="S171" s="89">
        <f>Traffic!N13</f>
        <v>2779.1783445099563</v>
      </c>
      <c r="T171" s="89">
        <f>Traffic!O13</f>
        <v>3363.9889472039654</v>
      </c>
      <c r="U171" s="89">
        <f>Traffic!P13</f>
        <v>4080.7042827251244</v>
      </c>
      <c r="V171" s="89">
        <f>Traffic!Q13</f>
        <v>4960.4418049601945</v>
      </c>
      <c r="W171" s="89">
        <f>Traffic!R13</f>
        <v>6041.856696456025</v>
      </c>
      <c r="X171" s="89">
        <f>Traffic!S13</f>
        <v>7372.9948880590655</v>
      </c>
      <c r="Y171" s="89">
        <f>Traffic!T13</f>
        <v>9013.6052498364406</v>
      </c>
      <c r="Z171" s="89">
        <f>Traffic!U13</f>
        <v>11038.025215227297</v>
      </c>
      <c r="AA171" s="89">
        <f>Traffic!V13</f>
        <v>13538.782596846995</v>
      </c>
      <c r="AB171" s="38" t="s">
        <v>300</v>
      </c>
    </row>
    <row r="172" spans="1:28" ht="14.5" x14ac:dyDescent="0.35">
      <c r="C172" s="38" t="s">
        <v>257</v>
      </c>
      <c r="G172" s="210">
        <v>162</v>
      </c>
      <c r="H172" s="210">
        <v>178</v>
      </c>
      <c r="I172" s="210">
        <v>196.24</v>
      </c>
      <c r="J172" s="210">
        <f t="shared" ref="J172:R172" si="111">(J$171/I$171)*I172*(1-$E175)</f>
        <v>185.41757276595743</v>
      </c>
      <c r="K172" s="210">
        <f t="shared" si="111"/>
        <v>175.63409854638297</v>
      </c>
      <c r="L172" s="210">
        <f t="shared" si="111"/>
        <v>166.78983785188765</v>
      </c>
      <c r="M172" s="210">
        <f t="shared" si="111"/>
        <v>158.79462618406387</v>
      </c>
      <c r="N172" s="210">
        <f t="shared" si="111"/>
        <v>151.56695483635119</v>
      </c>
      <c r="O172" s="210">
        <f t="shared" si="111"/>
        <v>145.03313993801893</v>
      </c>
      <c r="P172" s="210">
        <f t="shared" si="111"/>
        <v>139.12657126992653</v>
      </c>
      <c r="Q172" s="210">
        <f t="shared" si="111"/>
        <v>133.78703319397104</v>
      </c>
      <c r="R172" s="210">
        <f t="shared" si="111"/>
        <v>128.96009077330729</v>
      </c>
      <c r="S172" s="210">
        <f>(S$171/R$171)*R172*S178</f>
        <v>126.15399151034006</v>
      </c>
      <c r="T172" s="210">
        <f t="shared" ref="T172:Z172" si="112">(T$171/S$171)*S172*T178</f>
        <v>125.21402946965131</v>
      </c>
      <c r="U172" s="210">
        <f t="shared" si="112"/>
        <v>126.06996946086254</v>
      </c>
      <c r="V172" s="210">
        <f t="shared" si="112"/>
        <v>128.72893279459115</v>
      </c>
      <c r="W172" s="210">
        <f t="shared" si="112"/>
        <v>137.9777003315159</v>
      </c>
      <c r="X172" s="210">
        <f t="shared" si="112"/>
        <v>151.53917699279796</v>
      </c>
      <c r="Y172" s="210">
        <f t="shared" si="112"/>
        <v>168.58577162374181</v>
      </c>
      <c r="Z172" s="210">
        <f t="shared" si="112"/>
        <v>191.99800415877064</v>
      </c>
      <c r="AA172" s="210">
        <f>(AA$171/Z$171)*Z172*AA178</f>
        <v>223.72192736620448</v>
      </c>
      <c r="AB172" s="310">
        <f>L172/AA171</f>
        <v>1.231941178306023E-2</v>
      </c>
    </row>
    <row r="173" spans="1:28" x14ac:dyDescent="0.3">
      <c r="F173" s="38" t="s">
        <v>314</v>
      </c>
      <c r="G173" s="283">
        <f>G172/G171</f>
        <v>0.49846153846153846</v>
      </c>
      <c r="H173" s="283">
        <f t="shared" ref="H173:AA173" si="113">H172/H171</f>
        <v>0.4564102564102564</v>
      </c>
      <c r="I173" s="283">
        <f t="shared" si="113"/>
        <v>0.41753191489361702</v>
      </c>
      <c r="J173" s="283">
        <f t="shared" si="113"/>
        <v>0.33402553191489365</v>
      </c>
      <c r="K173" s="283">
        <f t="shared" si="113"/>
        <v>0.26722042553191494</v>
      </c>
      <c r="L173" s="283">
        <f t="shared" si="113"/>
        <v>0.21377634042553195</v>
      </c>
      <c r="M173" s="283">
        <f t="shared" si="113"/>
        <v>0.17102107234042555</v>
      </c>
      <c r="N173" s="283">
        <f t="shared" si="113"/>
        <v>0.13681685787234044</v>
      </c>
      <c r="O173" s="283">
        <f t="shared" si="113"/>
        <v>0.10945348629787235</v>
      </c>
      <c r="P173" s="283">
        <f t="shared" si="113"/>
        <v>8.7562789038297881E-2</v>
      </c>
      <c r="Q173" s="283">
        <f t="shared" si="113"/>
        <v>7.0050231230638305E-2</v>
      </c>
      <c r="R173" s="283">
        <f t="shared" si="113"/>
        <v>5.6040184984510653E-2</v>
      </c>
      <c r="S173" s="283">
        <f t="shared" si="113"/>
        <v>4.5392549837453632E-2</v>
      </c>
      <c r="T173" s="283">
        <f t="shared" si="113"/>
        <v>3.7221890866711974E-2</v>
      </c>
      <c r="U173" s="283">
        <f t="shared" si="113"/>
        <v>3.0894169419370933E-2</v>
      </c>
      <c r="V173" s="283">
        <f t="shared" si="113"/>
        <v>2.5951102312271587E-2</v>
      </c>
      <c r="W173" s="283">
        <f t="shared" si="113"/>
        <v>2.2836970034798999E-2</v>
      </c>
      <c r="X173" s="283">
        <f t="shared" si="113"/>
        <v>2.0553273031319097E-2</v>
      </c>
      <c r="Y173" s="283">
        <f t="shared" si="113"/>
        <v>1.8703478458500379E-2</v>
      </c>
      <c r="Z173" s="283">
        <f t="shared" si="113"/>
        <v>1.7394234966405357E-2</v>
      </c>
      <c r="AA173" s="283">
        <f t="shared" si="113"/>
        <v>1.6524523218085087E-2</v>
      </c>
      <c r="AB173" s="306">
        <f>L173/AA173</f>
        <v>12.936914282135943</v>
      </c>
    </row>
    <row r="174" spans="1:28" ht="54" x14ac:dyDescent="0.3">
      <c r="B174" s="50" t="s">
        <v>159</v>
      </c>
      <c r="C174" s="38" t="s">
        <v>256</v>
      </c>
      <c r="D174" s="98"/>
      <c r="E174" s="99" t="s">
        <v>103</v>
      </c>
      <c r="G174" s="89">
        <f>Traffic!B18</f>
        <v>325</v>
      </c>
      <c r="H174" s="89">
        <f>Traffic!C18</f>
        <v>390</v>
      </c>
      <c r="I174" s="89">
        <f>Traffic!D18</f>
        <v>470</v>
      </c>
      <c r="J174" s="89">
        <f>Traffic!E18</f>
        <v>567.79999999999995</v>
      </c>
      <c r="K174" s="89">
        <f>Traffic!F18</f>
        <v>688.89199999999994</v>
      </c>
      <c r="L174" s="89">
        <f>Traffic!G18</f>
        <v>839.41687999999999</v>
      </c>
      <c r="M174" s="89">
        <f>Traffic!H18</f>
        <v>1043</v>
      </c>
      <c r="N174" s="89">
        <f>Traffic!I18</f>
        <v>1282.6199999999999</v>
      </c>
      <c r="O174" s="89">
        <f>Traffic!J18</f>
        <v>1583.8667999999998</v>
      </c>
      <c r="P174" s="89">
        <f>Traffic!K18</f>
        <v>1963.792152</v>
      </c>
      <c r="Q174" s="89">
        <f>Traffic!L18</f>
        <v>2444.36225328</v>
      </c>
      <c r="R174" s="89">
        <f>Traffic!M18</f>
        <v>3053.9039287392002</v>
      </c>
      <c r="S174" s="89">
        <f>Traffic!N18</f>
        <v>3828.9807267626879</v>
      </c>
      <c r="T174" s="89">
        <f>Traffic!O18</f>
        <v>4816.8273509094643</v>
      </c>
      <c r="U174" s="89">
        <f>Traffic!P18</f>
        <v>6078.5092991567899</v>
      </c>
      <c r="V174" s="89">
        <f>Traffic!Q18</f>
        <v>7693.0245558947408</v>
      </c>
      <c r="W174" s="89">
        <f>Traffic!R18</f>
        <v>9762.6291350328047</v>
      </c>
      <c r="X174" s="89">
        <f>Traffic!S18</f>
        <v>12419.752697644039</v>
      </c>
      <c r="Y174" s="89">
        <f>Traffic!T18</f>
        <v>15835.980204132837</v>
      </c>
      <c r="Z174" s="89">
        <f>Traffic!U18</f>
        <v>20233.718200175656</v>
      </c>
      <c r="AA174" s="89">
        <f>Traffic!V18</f>
        <v>25901.349745903735</v>
      </c>
      <c r="AB174" s="306">
        <f>L173/AB172</f>
        <v>17.352804191469957</v>
      </c>
    </row>
    <row r="175" spans="1:28" ht="14.5" x14ac:dyDescent="0.35">
      <c r="C175" s="38" t="s">
        <v>257</v>
      </c>
      <c r="D175" s="98"/>
      <c r="E175" s="317">
        <v>0.2</v>
      </c>
      <c r="G175" s="222">
        <v>162</v>
      </c>
      <c r="H175" s="222">
        <v>178</v>
      </c>
      <c r="I175" s="222">
        <v>196.24</v>
      </c>
      <c r="J175" s="222">
        <f>(J$174/I$174)*I175*(1-$E176)</f>
        <v>189.65969702127663</v>
      </c>
      <c r="K175" s="222">
        <f t="shared" ref="K175:R175" si="114">(K$174/J$174)*J175*(1-$E176)</f>
        <v>184.08601338553194</v>
      </c>
      <c r="L175" s="222">
        <f t="shared" si="114"/>
        <v>179.44746869781792</v>
      </c>
      <c r="M175" s="222">
        <f t="shared" si="114"/>
        <v>178.3749784510639</v>
      </c>
      <c r="N175" s="222">
        <f t="shared" si="114"/>
        <v>175.48403824422135</v>
      </c>
      <c r="O175" s="222">
        <f t="shared" si="114"/>
        <v>173.35974309145502</v>
      </c>
      <c r="P175" s="222">
        <f t="shared" si="114"/>
        <v>171.95511792064113</v>
      </c>
      <c r="Q175" s="222">
        <f t="shared" si="114"/>
        <v>171.22814105370821</v>
      </c>
      <c r="R175" s="222">
        <f t="shared" si="114"/>
        <v>171.14134109146875</v>
      </c>
      <c r="S175" s="222">
        <f>(S$174/R$174)*R175*S178</f>
        <v>173.80719846622486</v>
      </c>
      <c r="T175" s="222">
        <f t="shared" ref="T175:Z175" si="115">(T$174/S$174)*S175*T178</f>
        <v>179.29142197934556</v>
      </c>
      <c r="U175" s="222">
        <f t="shared" si="115"/>
        <v>187.79049610537172</v>
      </c>
      <c r="V175" s="222">
        <f t="shared" si="115"/>
        <v>199.64246734084227</v>
      </c>
      <c r="W175" s="222">
        <f t="shared" si="115"/>
        <v>222.9488690176</v>
      </c>
      <c r="X175" s="222">
        <f t="shared" si="115"/>
        <v>255.26656817614005</v>
      </c>
      <c r="Y175" s="222">
        <f t="shared" si="115"/>
        <v>296.1879146172372</v>
      </c>
      <c r="Z175" s="222">
        <f t="shared" si="115"/>
        <v>351.95004861788806</v>
      </c>
      <c r="AA175" s="222">
        <f>(AA$174/Z$174)*Z175*AA178</f>
        <v>428.00745525592885</v>
      </c>
    </row>
    <row r="176" spans="1:28" ht="14.5" x14ac:dyDescent="0.35">
      <c r="E176" s="318">
        <v>0.2</v>
      </c>
      <c r="F176" s="38" t="s">
        <v>314</v>
      </c>
      <c r="G176" s="283">
        <f>G175/G174</f>
        <v>0.49846153846153846</v>
      </c>
      <c r="H176" s="283">
        <f t="shared" ref="H176:AA176" si="116">H175/H174</f>
        <v>0.4564102564102564</v>
      </c>
      <c r="I176" s="283">
        <f t="shared" si="116"/>
        <v>0.41753191489361702</v>
      </c>
      <c r="J176" s="283">
        <f t="shared" si="116"/>
        <v>0.3340255319148937</v>
      </c>
      <c r="K176" s="283">
        <f t="shared" si="116"/>
        <v>0.26722042553191494</v>
      </c>
      <c r="L176" s="283">
        <f t="shared" si="116"/>
        <v>0.21377634042553198</v>
      </c>
      <c r="M176" s="283">
        <f t="shared" si="116"/>
        <v>0.1710210723404256</v>
      </c>
      <c r="N176" s="283">
        <f t="shared" si="116"/>
        <v>0.13681685787234049</v>
      </c>
      <c r="O176" s="283">
        <f t="shared" si="116"/>
        <v>0.10945348629787242</v>
      </c>
      <c r="P176" s="283">
        <f t="shared" si="116"/>
        <v>8.756278903829795E-2</v>
      </c>
      <c r="Q176" s="283">
        <f t="shared" si="116"/>
        <v>7.005023123063836E-2</v>
      </c>
      <c r="R176" s="283">
        <f t="shared" si="116"/>
        <v>5.6040184984510695E-2</v>
      </c>
      <c r="S176" s="283">
        <f t="shared" si="116"/>
        <v>4.5392549837453666E-2</v>
      </c>
      <c r="T176" s="283">
        <f t="shared" si="116"/>
        <v>3.7221890866712001E-2</v>
      </c>
      <c r="U176" s="283">
        <f t="shared" si="116"/>
        <v>3.0894169419370961E-2</v>
      </c>
      <c r="V176" s="283">
        <f t="shared" si="116"/>
        <v>2.5951102312271608E-2</v>
      </c>
      <c r="W176" s="283">
        <f t="shared" si="116"/>
        <v>2.2836970034799016E-2</v>
      </c>
      <c r="X176" s="283">
        <f t="shared" si="116"/>
        <v>2.0553273031319114E-2</v>
      </c>
      <c r="Y176" s="283">
        <f t="shared" si="116"/>
        <v>1.8703478458500396E-2</v>
      </c>
      <c r="Z176" s="283">
        <f t="shared" si="116"/>
        <v>1.7394234966405367E-2</v>
      </c>
      <c r="AA176" s="283">
        <f t="shared" si="116"/>
        <v>1.6524523218085098E-2</v>
      </c>
    </row>
    <row r="177" spans="2:28" ht="14.5" x14ac:dyDescent="0.35">
      <c r="E177" s="196">
        <v>0.05</v>
      </c>
      <c r="F177" s="58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340">
        <v>0.8</v>
      </c>
      <c r="T177" s="340">
        <v>0.8</v>
      </c>
      <c r="U177" s="340">
        <v>0.8</v>
      </c>
      <c r="V177" s="340">
        <v>0.8</v>
      </c>
      <c r="W177" s="340">
        <v>0.8</v>
      </c>
      <c r="X177" s="340">
        <v>0.8</v>
      </c>
      <c r="Y177" s="340">
        <v>0.8</v>
      </c>
      <c r="Z177" s="340">
        <v>0.8</v>
      </c>
      <c r="AA177" s="340">
        <v>0.8</v>
      </c>
      <c r="AB177" s="38" t="s">
        <v>337</v>
      </c>
    </row>
    <row r="178" spans="2:28" x14ac:dyDescent="0.3">
      <c r="E178" s="58"/>
      <c r="F178" s="58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320">
        <v>0.81</v>
      </c>
      <c r="T178" s="320">
        <v>0.82</v>
      </c>
      <c r="U178" s="320">
        <v>0.83</v>
      </c>
      <c r="V178" s="320">
        <v>0.84</v>
      </c>
      <c r="W178" s="320">
        <v>0.88</v>
      </c>
      <c r="X178" s="320">
        <v>0.9</v>
      </c>
      <c r="Y178" s="320">
        <v>0.91</v>
      </c>
      <c r="Z178" s="320">
        <v>0.93</v>
      </c>
      <c r="AA178" s="321">
        <v>0.95</v>
      </c>
      <c r="AB178" s="38" t="s">
        <v>338</v>
      </c>
    </row>
    <row r="179" spans="2:28" ht="40.5" x14ac:dyDescent="0.3">
      <c r="B179" s="50" t="s">
        <v>158</v>
      </c>
      <c r="C179" s="38" t="s">
        <v>256</v>
      </c>
      <c r="G179" s="89">
        <f>Traffic!B23</f>
        <v>325</v>
      </c>
      <c r="H179" s="89">
        <f>Traffic!C23</f>
        <v>390</v>
      </c>
      <c r="I179" s="89">
        <f>Traffic!D23</f>
        <v>470</v>
      </c>
      <c r="J179" s="89">
        <f>Traffic!E23</f>
        <v>580.5</v>
      </c>
      <c r="K179" s="89">
        <f>Traffic!F23</f>
        <v>721.57500000000005</v>
      </c>
      <c r="L179" s="89">
        <f>Traffic!G23</f>
        <v>902.71125000000006</v>
      </c>
      <c r="M179" s="89">
        <f>Traffic!H23</f>
        <v>1136.5329375000001</v>
      </c>
      <c r="N179" s="89">
        <f>Traffic!I23</f>
        <v>1439.873128125</v>
      </c>
      <c r="O179" s="89">
        <f>Traffic!J23</f>
        <v>1835.21543484375</v>
      </c>
      <c r="P179" s="89">
        <f>Traffic!K23</f>
        <v>2352.6355556953126</v>
      </c>
      <c r="Q179" s="89">
        <f>Traffic!L23</f>
        <v>3032.4169266433596</v>
      </c>
      <c r="R179" s="89">
        <f>Traffic!M23</f>
        <v>3928.5756163914261</v>
      </c>
      <c r="S179" s="89">
        <f>Traffic!N23</f>
        <v>5113.6117623647497</v>
      </c>
      <c r="T179" s="89">
        <f>Traffic!O23</f>
        <v>6684.9157614641854</v>
      </c>
      <c r="U179" s="89">
        <f>Traffic!P23</f>
        <v>8773.4071425891889</v>
      </c>
      <c r="V179" s="89">
        <f>Traffic!Q23</f>
        <v>11555.186136799826</v>
      </c>
      <c r="W179" s="89">
        <f>Traffic!R23</f>
        <v>15267.250753129847</v>
      </c>
      <c r="X179" s="89">
        <f>Traffic!S23</f>
        <v>20228.700405442891</v>
      </c>
      <c r="Y179" s="89">
        <f>Traffic!T23</f>
        <v>26869.344219373139</v>
      </c>
      <c r="Z179" s="89">
        <f>Traffic!U23</f>
        <v>35768.303168982755</v>
      </c>
      <c r="AA179" s="89">
        <f>Traffic!V23</f>
        <v>47706.101021880102</v>
      </c>
    </row>
    <row r="180" spans="2:28" ht="14.5" x14ac:dyDescent="0.35">
      <c r="C180" s="38" t="s">
        <v>257</v>
      </c>
      <c r="G180" s="232">
        <v>162</v>
      </c>
      <c r="H180" s="232">
        <v>178</v>
      </c>
      <c r="I180" s="232">
        <v>196.24</v>
      </c>
      <c r="J180" s="232">
        <f t="shared" ref="J180:Z180" si="117">(J$179/I$179)*I180*(1-$E177)</f>
        <v>230.25841276595744</v>
      </c>
      <c r="K180" s="232">
        <f t="shared" si="117"/>
        <v>271.90573381914896</v>
      </c>
      <c r="L180" s="232">
        <f t="shared" si="117"/>
        <v>323.1538601186968</v>
      </c>
      <c r="M180" s="232">
        <f t="shared" si="117"/>
        <v>386.51479707371345</v>
      </c>
      <c r="N180" s="232">
        <f t="shared" si="117"/>
        <v>465.19167107963466</v>
      </c>
      <c r="O180" s="232">
        <f t="shared" si="117"/>
        <v>563.2722580467439</v>
      </c>
      <c r="P180" s="232">
        <f t="shared" si="117"/>
        <v>685.97702527161937</v>
      </c>
      <c r="Q180" s="232">
        <f t="shared" si="117"/>
        <v>839.9770720127392</v>
      </c>
      <c r="R180" s="232">
        <f t="shared" si="117"/>
        <v>1033.80169914015</v>
      </c>
      <c r="S180" s="232">
        <f t="shared" si="117"/>
        <v>1278.3609105773071</v>
      </c>
      <c r="T180" s="232">
        <f t="shared" si="117"/>
        <v>1587.6152956527419</v>
      </c>
      <c r="U180" s="232">
        <f t="shared" si="117"/>
        <v>1979.434906586941</v>
      </c>
      <c r="V180" s="232">
        <f t="shared" si="117"/>
        <v>2476.7004994269396</v>
      </c>
      <c r="W180" s="232">
        <f t="shared" si="117"/>
        <v>3108.7155811791877</v>
      </c>
      <c r="X180" s="232">
        <f t="shared" si="117"/>
        <v>3913.0170386628783</v>
      </c>
      <c r="Y180" s="232">
        <f t="shared" si="117"/>
        <v>4937.6969186722645</v>
      </c>
      <c r="Z180" s="232">
        <f t="shared" si="117"/>
        <v>6244.379727193611</v>
      </c>
      <c r="AA180" s="232">
        <f>(AA$179/Z$179)*Z180*(1-$E177)</f>
        <v>7912.04039630441</v>
      </c>
    </row>
    <row r="181" spans="2:28" x14ac:dyDescent="0.3">
      <c r="F181" s="38" t="s">
        <v>314</v>
      </c>
      <c r="G181" s="283">
        <f>G180/G179</f>
        <v>0.49846153846153846</v>
      </c>
      <c r="H181" s="283">
        <f t="shared" ref="H181:AA181" si="118">H180/H179</f>
        <v>0.4564102564102564</v>
      </c>
      <c r="I181" s="283">
        <f t="shared" si="118"/>
        <v>0.41753191489361702</v>
      </c>
      <c r="J181" s="283">
        <f t="shared" si="118"/>
        <v>0.39665531914893615</v>
      </c>
      <c r="K181" s="283">
        <f t="shared" si="118"/>
        <v>0.37682255319148938</v>
      </c>
      <c r="L181" s="283">
        <f t="shared" si="118"/>
        <v>0.35798142553191487</v>
      </c>
      <c r="M181" s="283">
        <f t="shared" si="118"/>
        <v>0.34008235425531907</v>
      </c>
      <c r="N181" s="283">
        <f t="shared" si="118"/>
        <v>0.32307823654255313</v>
      </c>
      <c r="O181" s="283">
        <f t="shared" si="118"/>
        <v>0.30692432471542547</v>
      </c>
      <c r="P181" s="283">
        <f t="shared" si="118"/>
        <v>0.29157810847965421</v>
      </c>
      <c r="Q181" s="283">
        <f t="shared" si="118"/>
        <v>0.27699920305567149</v>
      </c>
      <c r="R181" s="283">
        <f t="shared" si="118"/>
        <v>0.26314924290288794</v>
      </c>
      <c r="S181" s="283">
        <f t="shared" si="118"/>
        <v>0.24999178075774356</v>
      </c>
      <c r="T181" s="283">
        <f t="shared" si="118"/>
        <v>0.23749219171985636</v>
      </c>
      <c r="U181" s="283">
        <f t="shared" si="118"/>
        <v>0.22561758213386349</v>
      </c>
      <c r="V181" s="283">
        <f t="shared" si="118"/>
        <v>0.21433670302717031</v>
      </c>
      <c r="W181" s="283">
        <f t="shared" si="118"/>
        <v>0.20361986787581179</v>
      </c>
      <c r="X181" s="283">
        <f t="shared" si="118"/>
        <v>0.19343887448202118</v>
      </c>
      <c r="Y181" s="283">
        <f t="shared" si="118"/>
        <v>0.18376693075792011</v>
      </c>
      <c r="Z181" s="283">
        <f t="shared" si="118"/>
        <v>0.17457858422002412</v>
      </c>
      <c r="AA181" s="283">
        <f t="shared" si="118"/>
        <v>0.16584965500902291</v>
      </c>
    </row>
    <row r="182" spans="2:28" x14ac:dyDescent="0.3">
      <c r="G182" s="89"/>
      <c r="H182" s="89"/>
      <c r="I182" s="118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</row>
    <row r="183" spans="2:28" x14ac:dyDescent="0.3">
      <c r="G183" s="89"/>
      <c r="H183" s="89"/>
      <c r="I183" s="118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</row>
    <row r="184" spans="2:28" x14ac:dyDescent="0.3">
      <c r="G184" s="89"/>
      <c r="H184" s="89"/>
      <c r="I184" s="118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</row>
    <row r="185" spans="2:28" ht="30.5" x14ac:dyDescent="0.6">
      <c r="G185" s="89"/>
      <c r="H185" s="89"/>
      <c r="I185" s="118"/>
      <c r="J185" s="89"/>
      <c r="L185" s="130" t="s">
        <v>280</v>
      </c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</row>
    <row r="186" spans="2:28" x14ac:dyDescent="0.3">
      <c r="G186" s="89"/>
      <c r="H186" s="89"/>
      <c r="I186" s="118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</row>
    <row r="187" spans="2:28" x14ac:dyDescent="0.3">
      <c r="G187" s="89"/>
      <c r="H187" s="89"/>
      <c r="I187" s="118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</row>
    <row r="188" spans="2:28" x14ac:dyDescent="0.3">
      <c r="G188" s="89"/>
      <c r="H188" s="89"/>
      <c r="I188" s="118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</row>
    <row r="189" spans="2:28" x14ac:dyDescent="0.3">
      <c r="C189" s="38" t="s">
        <v>278</v>
      </c>
      <c r="G189" s="89">
        <f>Traffic!B12</f>
        <v>118</v>
      </c>
      <c r="H189" s="89">
        <f>Traffic!C12</f>
        <v>154</v>
      </c>
      <c r="I189" s="89">
        <f>Traffic!D12</f>
        <v>200</v>
      </c>
      <c r="J189" s="89">
        <f>Traffic!E12</f>
        <v>250</v>
      </c>
      <c r="K189" s="89">
        <f>Traffic!F12</f>
        <v>312.5</v>
      </c>
      <c r="L189" s="89">
        <f>Traffic!G12</f>
        <v>390.625</v>
      </c>
      <c r="M189" s="89">
        <f>Traffic!H12</f>
        <v>488.28125</v>
      </c>
      <c r="N189" s="89">
        <f>Traffic!I12</f>
        <v>610.3515625</v>
      </c>
      <c r="O189" s="89">
        <f>Traffic!J12</f>
        <v>762.939453125</v>
      </c>
      <c r="P189" s="89">
        <f>Traffic!K12</f>
        <v>953.67431640625</v>
      </c>
      <c r="Q189" s="89">
        <f>Traffic!L12</f>
        <v>1192.0928955078125</v>
      </c>
      <c r="R189" s="89">
        <f>Traffic!M12</f>
        <v>1490.1161193847656</v>
      </c>
      <c r="S189" s="89">
        <f>Traffic!N12</f>
        <v>1862.645149230957</v>
      </c>
      <c r="T189" s="89">
        <f>Traffic!O12</f>
        <v>2328.3064365386963</v>
      </c>
      <c r="U189" s="89">
        <f>Traffic!P12</f>
        <v>2910.3830456733704</v>
      </c>
      <c r="V189" s="89">
        <f>Traffic!Q12</f>
        <v>3637.978807091713</v>
      </c>
      <c r="W189" s="89">
        <f>Traffic!R12</f>
        <v>4547.4735088646412</v>
      </c>
      <c r="X189" s="89">
        <f>Traffic!S12</f>
        <v>5684.3418860808015</v>
      </c>
      <c r="Y189" s="89">
        <f>Traffic!T12</f>
        <v>7105.4273576010019</v>
      </c>
      <c r="Z189" s="89">
        <f>Traffic!U12</f>
        <v>8881.7841970012523</v>
      </c>
      <c r="AA189" s="89">
        <f>Traffic!V12</f>
        <v>11102.230246251565</v>
      </c>
      <c r="AB189" s="38" t="s">
        <v>300</v>
      </c>
    </row>
    <row r="190" spans="2:28" ht="14.5" x14ac:dyDescent="0.35">
      <c r="C190" s="38" t="s">
        <v>279</v>
      </c>
      <c r="G190" s="210">
        <v>42.1</v>
      </c>
      <c r="H190" s="210">
        <v>46.4</v>
      </c>
      <c r="I190" s="210">
        <f>51.4</f>
        <v>51.4</v>
      </c>
      <c r="J190" s="210">
        <f>(J$189/I$189)*I190*(1-$E193)</f>
        <v>51.400000000000006</v>
      </c>
      <c r="K190" s="210">
        <f t="shared" ref="K190:Q190" si="119">(K$189/J$189)*J190*(1-$E193)</f>
        <v>51.400000000000006</v>
      </c>
      <c r="L190" s="210">
        <f t="shared" si="119"/>
        <v>51.400000000000006</v>
      </c>
      <c r="M190" s="210">
        <f t="shared" si="119"/>
        <v>51.400000000000006</v>
      </c>
      <c r="N190" s="210">
        <f t="shared" si="119"/>
        <v>51.400000000000006</v>
      </c>
      <c r="O190" s="210">
        <f>(O$189/N$189)*N190*(1-$E193)</f>
        <v>51.400000000000006</v>
      </c>
      <c r="P190" s="210">
        <f t="shared" si="119"/>
        <v>51.400000000000006</v>
      </c>
      <c r="Q190" s="210">
        <f t="shared" si="119"/>
        <v>51.400000000000006</v>
      </c>
      <c r="R190" s="210">
        <f>(R$189/Q$189)*Q190*(1-$E193)</f>
        <v>51.400000000000006</v>
      </c>
      <c r="S190" s="210">
        <f>(S$189/R$189)*R190*S195</f>
        <v>52.042500000000004</v>
      </c>
      <c r="T190" s="210">
        <f t="shared" ref="T190:Z190" si="120">(T$189/S$189)*S190*T195</f>
        <v>53.343562500000004</v>
      </c>
      <c r="U190" s="210">
        <f t="shared" si="120"/>
        <v>55.343946093750006</v>
      </c>
      <c r="V190" s="210">
        <f t="shared" si="120"/>
        <v>58.111143398437498</v>
      </c>
      <c r="W190" s="210">
        <f t="shared" si="120"/>
        <v>63.922257738281253</v>
      </c>
      <c r="X190" s="210">
        <f t="shared" si="120"/>
        <v>71.912539955566416</v>
      </c>
      <c r="Y190" s="210">
        <f t="shared" si="120"/>
        <v>81.800514199456813</v>
      </c>
      <c r="Z190" s="210">
        <f t="shared" si="120"/>
        <v>95.093097756868545</v>
      </c>
      <c r="AA190" s="210">
        <f>(AA$189/Z$189)*Z190*AA195</f>
        <v>112.92305358628138</v>
      </c>
      <c r="AB190" s="310">
        <f>L190/AA189</f>
        <v>4.6297004169368701E-3</v>
      </c>
    </row>
    <row r="191" spans="2:28" x14ac:dyDescent="0.3">
      <c r="F191" s="38" t="s">
        <v>314</v>
      </c>
      <c r="G191" s="283">
        <f>G190/G189</f>
        <v>0.35677966101694919</v>
      </c>
      <c r="H191" s="283">
        <f t="shared" ref="H191:AA191" si="121">H190/H189</f>
        <v>0.30129870129870129</v>
      </c>
      <c r="I191" s="283">
        <f t="shared" si="121"/>
        <v>0.25700000000000001</v>
      </c>
      <c r="J191" s="283">
        <f t="shared" si="121"/>
        <v>0.20560000000000003</v>
      </c>
      <c r="K191" s="283">
        <f t="shared" si="121"/>
        <v>0.16448000000000002</v>
      </c>
      <c r="L191" s="283">
        <f t="shared" si="121"/>
        <v>0.13158400000000001</v>
      </c>
      <c r="M191" s="283">
        <f t="shared" si="121"/>
        <v>0.10526720000000001</v>
      </c>
      <c r="N191" s="283">
        <f t="shared" si="121"/>
        <v>8.4213760000000012E-2</v>
      </c>
      <c r="O191" s="283">
        <f t="shared" si="121"/>
        <v>6.737100800000001E-2</v>
      </c>
      <c r="P191" s="283">
        <f t="shared" si="121"/>
        <v>5.3896806400000004E-2</v>
      </c>
      <c r="Q191" s="283">
        <f t="shared" si="121"/>
        <v>4.3117445120000007E-2</v>
      </c>
      <c r="R191" s="283">
        <f t="shared" si="121"/>
        <v>3.4493956096000006E-2</v>
      </c>
      <c r="S191" s="283">
        <f t="shared" si="121"/>
        <v>2.7940104437760002E-2</v>
      </c>
      <c r="T191" s="283">
        <f t="shared" si="121"/>
        <v>2.2910885638963201E-2</v>
      </c>
      <c r="U191" s="283">
        <f t="shared" si="121"/>
        <v>1.9016035080339458E-2</v>
      </c>
      <c r="V191" s="283">
        <f t="shared" si="121"/>
        <v>1.5973469467485141E-2</v>
      </c>
      <c r="W191" s="283">
        <f t="shared" si="121"/>
        <v>1.4056653131386926E-2</v>
      </c>
      <c r="X191" s="283">
        <f t="shared" si="121"/>
        <v>1.2650987818248235E-2</v>
      </c>
      <c r="Y191" s="283">
        <f t="shared" si="121"/>
        <v>1.1512398914605896E-2</v>
      </c>
      <c r="Z191" s="283">
        <f t="shared" si="121"/>
        <v>1.0706530990583484E-2</v>
      </c>
      <c r="AA191" s="283">
        <f t="shared" si="121"/>
        <v>1.0171204441054307E-2</v>
      </c>
      <c r="AB191" s="306">
        <f>L191/AA191</f>
        <v>12.936914282135943</v>
      </c>
    </row>
    <row r="192" spans="2:28" ht="52" x14ac:dyDescent="0.3">
      <c r="C192" s="38" t="s">
        <v>278</v>
      </c>
      <c r="D192" s="98"/>
      <c r="E192" s="99" t="s">
        <v>103</v>
      </c>
      <c r="G192" s="89">
        <f>Traffic!B17</f>
        <v>118</v>
      </c>
      <c r="H192" s="89">
        <f>Traffic!C17</f>
        <v>154</v>
      </c>
      <c r="I192" s="89">
        <f>Traffic!D17</f>
        <v>200</v>
      </c>
      <c r="J192" s="89">
        <f>Traffic!E17</f>
        <v>260</v>
      </c>
      <c r="K192" s="89">
        <f>Traffic!F17</f>
        <v>338</v>
      </c>
      <c r="L192" s="89">
        <f>Traffic!G17</f>
        <v>439.40000000000003</v>
      </c>
      <c r="M192" s="89">
        <f>Traffic!H17</f>
        <v>585</v>
      </c>
      <c r="N192" s="89">
        <f>Traffic!I17</f>
        <v>760.5</v>
      </c>
      <c r="O192" s="89">
        <f>Traffic!J17</f>
        <v>988.65</v>
      </c>
      <c r="P192" s="89">
        <f>Traffic!K17</f>
        <v>1285.2450000000001</v>
      </c>
      <c r="Q192" s="89">
        <f>Traffic!L17</f>
        <v>1670.8185000000003</v>
      </c>
      <c r="R192" s="89">
        <f>Traffic!M17</f>
        <v>2172.0640500000004</v>
      </c>
      <c r="S192" s="89">
        <f>Traffic!N17</f>
        <v>2823.6832650000006</v>
      </c>
      <c r="T192" s="89">
        <f>Traffic!O17</f>
        <v>3670.7882445000009</v>
      </c>
      <c r="U192" s="89">
        <f>Traffic!P17</f>
        <v>4772.0247178500013</v>
      </c>
      <c r="V192" s="89">
        <f>Traffic!Q17</f>
        <v>6203.632133205002</v>
      </c>
      <c r="W192" s="89">
        <f>Traffic!R17</f>
        <v>8064.7217731665032</v>
      </c>
      <c r="X192" s="89">
        <f>Traffic!S17</f>
        <v>10484.138305116454</v>
      </c>
      <c r="Y192" s="89">
        <f>Traffic!T17</f>
        <v>13629.37979665139</v>
      </c>
      <c r="Z192" s="89">
        <f>Traffic!U17</f>
        <v>17718.193735646808</v>
      </c>
      <c r="AA192" s="89">
        <f>Traffic!V17</f>
        <v>23033.65185634085</v>
      </c>
      <c r="AB192" s="306">
        <f>L191/AB190</f>
        <v>28.421709430404007</v>
      </c>
    </row>
    <row r="193" spans="3:27" ht="14.5" x14ac:dyDescent="0.35">
      <c r="C193" s="38" t="s">
        <v>279</v>
      </c>
      <c r="D193" s="98"/>
      <c r="E193" s="317">
        <v>0.2</v>
      </c>
      <c r="G193" s="222">
        <v>42.1</v>
      </c>
      <c r="H193" s="222">
        <v>46.4</v>
      </c>
      <c r="I193" s="222">
        <f>51.4</f>
        <v>51.4</v>
      </c>
      <c r="J193" s="222">
        <f>(J$192/I$192)*I193*(1-$E194)</f>
        <v>53.45600000000001</v>
      </c>
      <c r="K193" s="222">
        <f>(K$192/J$192)*J193*(1-$E194)</f>
        <v>55.594240000000013</v>
      </c>
      <c r="L193" s="222">
        <f t="shared" ref="L193:R193" si="122">(L$192/K$192)*K193*(1-$E194)</f>
        <v>57.818009600000018</v>
      </c>
      <c r="M193" s="222">
        <f t="shared" si="122"/>
        <v>61.581312000000018</v>
      </c>
      <c r="N193" s="222">
        <f t="shared" si="122"/>
        <v>64.04456448000002</v>
      </c>
      <c r="O193" s="222">
        <f t="shared" si="122"/>
        <v>66.606347059200033</v>
      </c>
      <c r="P193" s="222">
        <f t="shared" si="122"/>
        <v>69.270600941568034</v>
      </c>
      <c r="Q193" s="222">
        <f t="shared" si="122"/>
        <v>72.041424979230769</v>
      </c>
      <c r="R193" s="222">
        <f t="shared" si="122"/>
        <v>74.923081978400006</v>
      </c>
      <c r="S193" s="222">
        <f>(S$192/R$192)*R193*S195</f>
        <v>78.894005323255215</v>
      </c>
      <c r="T193" s="222">
        <f>(T$192/S$192)*S193*T195</f>
        <v>84.10100967459006</v>
      </c>
      <c r="U193" s="222">
        <f t="shared" ref="U193:Z193" si="123">(U$192/T$192)*T193*U195</f>
        <v>90.744989438882669</v>
      </c>
      <c r="V193" s="222">
        <f t="shared" si="123"/>
        <v>99.093528467259873</v>
      </c>
      <c r="W193" s="222">
        <f t="shared" si="123"/>
        <v>113.36299656654531</v>
      </c>
      <c r="X193" s="222">
        <f t="shared" si="123"/>
        <v>132.63470598285801</v>
      </c>
      <c r="Y193" s="222">
        <f t="shared" si="123"/>
        <v>156.90685717772104</v>
      </c>
      <c r="Z193" s="222">
        <f t="shared" si="123"/>
        <v>189.70039032786474</v>
      </c>
      <c r="AA193" s="222">
        <f>(AA$192/Z$192)*Z193*AA195</f>
        <v>234.27998205491295</v>
      </c>
    </row>
    <row r="194" spans="3:27" ht="14.5" x14ac:dyDescent="0.35">
      <c r="E194" s="318">
        <v>0.2</v>
      </c>
      <c r="F194" s="38" t="s">
        <v>314</v>
      </c>
      <c r="G194" s="283">
        <f>G193/G192</f>
        <v>0.35677966101694919</v>
      </c>
      <c r="H194" s="283">
        <f t="shared" ref="H194:AA194" si="124">H193/H192</f>
        <v>0.30129870129870129</v>
      </c>
      <c r="I194" s="283">
        <f t="shared" si="124"/>
        <v>0.25700000000000001</v>
      </c>
      <c r="J194" s="283">
        <f t="shared" si="124"/>
        <v>0.20560000000000003</v>
      </c>
      <c r="K194" s="283">
        <f t="shared" si="124"/>
        <v>0.16448000000000004</v>
      </c>
      <c r="L194" s="283">
        <f t="shared" si="124"/>
        <v>0.13158400000000003</v>
      </c>
      <c r="M194" s="283">
        <f t="shared" si="124"/>
        <v>0.10526720000000003</v>
      </c>
      <c r="N194" s="283">
        <f t="shared" si="124"/>
        <v>8.4213760000000026E-2</v>
      </c>
      <c r="O194" s="283">
        <f t="shared" si="124"/>
        <v>6.7371008000000038E-2</v>
      </c>
      <c r="P194" s="283">
        <f t="shared" si="124"/>
        <v>5.3896806400000025E-2</v>
      </c>
      <c r="Q194" s="283">
        <f t="shared" si="124"/>
        <v>4.3117445120000021E-2</v>
      </c>
      <c r="R194" s="283">
        <f t="shared" si="124"/>
        <v>3.449395609600002E-2</v>
      </c>
      <c r="S194" s="283">
        <f t="shared" si="124"/>
        <v>2.794010443776002E-2</v>
      </c>
      <c r="T194" s="283">
        <f t="shared" si="124"/>
        <v>2.2910885638963215E-2</v>
      </c>
      <c r="U194" s="283">
        <f t="shared" si="124"/>
        <v>1.9016035080339468E-2</v>
      </c>
      <c r="V194" s="283">
        <f t="shared" si="124"/>
        <v>1.5973469467485152E-2</v>
      </c>
      <c r="W194" s="283">
        <f t="shared" si="124"/>
        <v>1.4056653131386933E-2</v>
      </c>
      <c r="X194" s="283">
        <f t="shared" si="124"/>
        <v>1.2650987818248241E-2</v>
      </c>
      <c r="Y194" s="283">
        <f t="shared" si="124"/>
        <v>1.15123989146059E-2</v>
      </c>
      <c r="Z194" s="283">
        <f t="shared" si="124"/>
        <v>1.0706530990583486E-2</v>
      </c>
      <c r="AA194" s="283">
        <f t="shared" si="124"/>
        <v>1.0171204441054313E-2</v>
      </c>
    </row>
    <row r="195" spans="3:27" ht="14.5" x14ac:dyDescent="0.35">
      <c r="E195" s="196">
        <v>0.05</v>
      </c>
      <c r="F195" s="58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2">
        <v>0.81</v>
      </c>
      <c r="T195" s="82">
        <v>0.82</v>
      </c>
      <c r="U195" s="82">
        <v>0.83</v>
      </c>
      <c r="V195" s="82">
        <v>0.84</v>
      </c>
      <c r="W195" s="82">
        <v>0.88</v>
      </c>
      <c r="X195" s="82">
        <v>0.9</v>
      </c>
      <c r="Y195" s="82">
        <v>0.91</v>
      </c>
      <c r="Z195" s="82">
        <v>0.93</v>
      </c>
      <c r="AA195" s="83">
        <v>0.95</v>
      </c>
    </row>
    <row r="196" spans="3:27" x14ac:dyDescent="0.3">
      <c r="E196" s="58"/>
      <c r="F196" s="58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</row>
    <row r="197" spans="3:27" x14ac:dyDescent="0.3">
      <c r="C197" s="38" t="s">
        <v>278</v>
      </c>
      <c r="G197" s="89">
        <f>Traffic!B22</f>
        <v>118</v>
      </c>
      <c r="H197" s="89">
        <f>Traffic!C22</f>
        <v>154</v>
      </c>
      <c r="I197" s="89">
        <f>Traffic!D22</f>
        <v>200</v>
      </c>
      <c r="J197" s="89">
        <f>Traffic!E22</f>
        <v>270</v>
      </c>
      <c r="K197" s="89">
        <f>Traffic!F22</f>
        <v>364.5</v>
      </c>
      <c r="L197" s="89">
        <f>Traffic!G22</f>
        <v>492.07500000000005</v>
      </c>
      <c r="M197" s="89">
        <f>Traffic!H22</f>
        <v>664.3012500000001</v>
      </c>
      <c r="N197" s="89">
        <f>Traffic!I22</f>
        <v>896.80668750000018</v>
      </c>
      <c r="O197" s="89">
        <f>Traffic!J22</f>
        <v>1210.6890281250003</v>
      </c>
      <c r="P197" s="89">
        <f>Traffic!K22</f>
        <v>1634.4301879687505</v>
      </c>
      <c r="Q197" s="89">
        <f>Traffic!L22</f>
        <v>2206.4807537578131</v>
      </c>
      <c r="R197" s="89">
        <f>Traffic!M22</f>
        <v>2978.7490175730477</v>
      </c>
      <c r="S197" s="89">
        <f>Traffic!N22</f>
        <v>4021.3111737236145</v>
      </c>
      <c r="T197" s="89">
        <f>Traffic!O22</f>
        <v>5428.7700845268801</v>
      </c>
      <c r="U197" s="89">
        <f>Traffic!P22</f>
        <v>7328.8396141112889</v>
      </c>
      <c r="V197" s="89">
        <f>Traffic!Q22</f>
        <v>9893.9334790502398</v>
      </c>
      <c r="W197" s="89">
        <f>Traffic!R22</f>
        <v>13356.810196717825</v>
      </c>
      <c r="X197" s="89">
        <f>Traffic!S22</f>
        <v>18031.693765569064</v>
      </c>
      <c r="Y197" s="89">
        <f>Traffic!T22</f>
        <v>24342.786583518238</v>
      </c>
      <c r="Z197" s="89">
        <f>Traffic!U22</f>
        <v>32862.761887749621</v>
      </c>
      <c r="AA197" s="89">
        <f>Traffic!V22</f>
        <v>44364.728548461993</v>
      </c>
    </row>
    <row r="198" spans="3:27" ht="14.5" x14ac:dyDescent="0.35">
      <c r="C198" s="38" t="s">
        <v>279</v>
      </c>
      <c r="G198" s="232">
        <v>42.1</v>
      </c>
      <c r="H198" s="232">
        <v>46.4</v>
      </c>
      <c r="I198" s="232">
        <f>51.4</f>
        <v>51.4</v>
      </c>
      <c r="J198" s="232">
        <f>(J$197/I$197)*I198*(1-$E195)</f>
        <v>65.920500000000004</v>
      </c>
      <c r="K198" s="232">
        <f t="shared" ref="K198:Z198" si="125">(K$197/J$197)*J198*(1-$E195)</f>
        <v>84.543041250000002</v>
      </c>
      <c r="L198" s="232">
        <f t="shared" si="125"/>
        <v>108.426450403125</v>
      </c>
      <c r="M198" s="232">
        <f t="shared" si="125"/>
        <v>139.05692264200781</v>
      </c>
      <c r="N198" s="232">
        <f t="shared" si="125"/>
        <v>178.340503288375</v>
      </c>
      <c r="O198" s="232">
        <f t="shared" si="125"/>
        <v>228.72169546734094</v>
      </c>
      <c r="P198" s="232">
        <f t="shared" si="125"/>
        <v>293.33557443686476</v>
      </c>
      <c r="Q198" s="232">
        <f t="shared" si="125"/>
        <v>376.202874215279</v>
      </c>
      <c r="R198" s="232">
        <f t="shared" si="125"/>
        <v>482.48018618109529</v>
      </c>
      <c r="S198" s="232">
        <f t="shared" si="125"/>
        <v>618.78083877725476</v>
      </c>
      <c r="T198" s="232">
        <f t="shared" si="125"/>
        <v>793.58642573182931</v>
      </c>
      <c r="U198" s="232">
        <f t="shared" si="125"/>
        <v>1017.7745910010711</v>
      </c>
      <c r="V198" s="232">
        <f t="shared" si="125"/>
        <v>1305.2959129588735</v>
      </c>
      <c r="W198" s="232">
        <f t="shared" si="125"/>
        <v>1674.0420083697552</v>
      </c>
      <c r="X198" s="232">
        <f t="shared" si="125"/>
        <v>2146.9588757342108</v>
      </c>
      <c r="Y198" s="232">
        <f t="shared" si="125"/>
        <v>2753.4747581291258</v>
      </c>
      <c r="Z198" s="232">
        <f t="shared" si="125"/>
        <v>3531.331377300603</v>
      </c>
      <c r="AA198" s="232">
        <f>(AA$197/Z$197)*Z198*(1-$E195)</f>
        <v>4528.9324913880237</v>
      </c>
    </row>
    <row r="199" spans="3:27" x14ac:dyDescent="0.3">
      <c r="F199" s="38" t="s">
        <v>314</v>
      </c>
      <c r="G199" s="283">
        <f>G198/G197</f>
        <v>0.35677966101694919</v>
      </c>
      <c r="H199" s="283">
        <f t="shared" ref="H199:AA199" si="126">H198/H197</f>
        <v>0.30129870129870129</v>
      </c>
      <c r="I199" s="283">
        <f t="shared" si="126"/>
        <v>0.25700000000000001</v>
      </c>
      <c r="J199" s="283">
        <f t="shared" si="126"/>
        <v>0.24415000000000001</v>
      </c>
      <c r="K199" s="283">
        <f t="shared" si="126"/>
        <v>0.2319425</v>
      </c>
      <c r="L199" s="283">
        <f t="shared" si="126"/>
        <v>0.22034537499999998</v>
      </c>
      <c r="M199" s="283">
        <f t="shared" si="126"/>
        <v>0.20932810624999995</v>
      </c>
      <c r="N199" s="283">
        <f t="shared" si="126"/>
        <v>0.19886170093749994</v>
      </c>
      <c r="O199" s="283">
        <f t="shared" si="126"/>
        <v>0.18891861589062495</v>
      </c>
      <c r="P199" s="283">
        <f t="shared" si="126"/>
        <v>0.17947268509609368</v>
      </c>
      <c r="Q199" s="283">
        <f t="shared" si="126"/>
        <v>0.17049905084128897</v>
      </c>
      <c r="R199" s="283">
        <f t="shared" si="126"/>
        <v>0.16197409829922452</v>
      </c>
      <c r="S199" s="283">
        <f t="shared" si="126"/>
        <v>0.15387539338426329</v>
      </c>
      <c r="T199" s="283">
        <f t="shared" si="126"/>
        <v>0.14618162371505014</v>
      </c>
      <c r="U199" s="283">
        <f t="shared" si="126"/>
        <v>0.13887254252929762</v>
      </c>
      <c r="V199" s="283">
        <f t="shared" si="126"/>
        <v>0.13192891540283272</v>
      </c>
      <c r="W199" s="283">
        <f t="shared" si="126"/>
        <v>0.12533246963269107</v>
      </c>
      <c r="X199" s="283">
        <f t="shared" si="126"/>
        <v>0.1190658461510565</v>
      </c>
      <c r="Y199" s="283">
        <f t="shared" si="126"/>
        <v>0.11311255384350369</v>
      </c>
      <c r="Z199" s="283">
        <f t="shared" si="126"/>
        <v>0.10745692615132847</v>
      </c>
      <c r="AA199" s="283">
        <f t="shared" si="126"/>
        <v>0.10208407984376205</v>
      </c>
    </row>
    <row r="200" spans="3:27" x14ac:dyDescent="0.3">
      <c r="G200" s="283"/>
      <c r="H200" s="283"/>
      <c r="I200" s="283"/>
      <c r="J200" s="283"/>
      <c r="K200" s="283"/>
      <c r="L200" s="283"/>
      <c r="M200" s="283"/>
      <c r="N200" s="283"/>
      <c r="O200" s="283"/>
      <c r="P200" s="283"/>
      <c r="Q200" s="283"/>
      <c r="R200" s="283"/>
      <c r="S200" s="283"/>
      <c r="T200" s="283"/>
      <c r="U200" s="283"/>
      <c r="V200" s="283"/>
      <c r="W200" s="283"/>
      <c r="X200" s="283"/>
      <c r="Y200" s="283"/>
      <c r="Z200" s="283"/>
      <c r="AA200" s="283"/>
    </row>
    <row r="201" spans="3:27" x14ac:dyDescent="0.3">
      <c r="G201" s="283"/>
      <c r="H201" s="283"/>
      <c r="I201" s="283"/>
      <c r="J201" s="283"/>
      <c r="K201" s="283"/>
      <c r="L201" s="283"/>
      <c r="M201" s="283"/>
      <c r="N201" s="283"/>
      <c r="O201" s="283"/>
      <c r="P201" s="283"/>
      <c r="Q201" s="283"/>
      <c r="R201" s="283"/>
      <c r="S201" s="283"/>
      <c r="T201" s="283"/>
      <c r="U201" s="283"/>
      <c r="V201" s="283"/>
      <c r="W201" s="283"/>
      <c r="X201" s="283"/>
      <c r="Y201" s="283"/>
      <c r="Z201" s="283"/>
      <c r="AA201" s="283"/>
    </row>
    <row r="202" spans="3:27" x14ac:dyDescent="0.3">
      <c r="G202" s="283"/>
      <c r="H202" s="283"/>
      <c r="I202" s="283"/>
      <c r="J202" s="283"/>
      <c r="K202" s="283"/>
      <c r="L202" s="283"/>
      <c r="M202" s="283"/>
      <c r="N202" s="283"/>
      <c r="O202" s="283"/>
      <c r="P202" s="283"/>
      <c r="Q202" s="283"/>
      <c r="R202" s="283"/>
      <c r="S202" s="283"/>
      <c r="T202" s="283"/>
      <c r="U202" s="283"/>
      <c r="V202" s="283"/>
      <c r="W202" s="283"/>
      <c r="X202" s="283"/>
      <c r="Y202" s="283"/>
      <c r="Z202" s="283"/>
      <c r="AA202" s="283"/>
    </row>
    <row r="203" spans="3:27" x14ac:dyDescent="0.3">
      <c r="G203" s="283"/>
      <c r="H203" s="283"/>
      <c r="I203" s="283"/>
      <c r="J203" s="283"/>
      <c r="K203" s="283"/>
      <c r="L203" s="283"/>
      <c r="M203" s="283"/>
      <c r="N203" s="283"/>
      <c r="O203" s="283"/>
      <c r="P203" s="283"/>
      <c r="Q203" s="283"/>
      <c r="R203" s="283"/>
      <c r="S203" s="283"/>
      <c r="T203" s="283"/>
      <c r="U203" s="283"/>
      <c r="V203" s="283"/>
      <c r="W203" s="283"/>
      <c r="X203" s="283"/>
      <c r="Y203" s="283"/>
      <c r="Z203" s="283"/>
      <c r="AA203" s="283"/>
    </row>
    <row r="204" spans="3:27" x14ac:dyDescent="0.3">
      <c r="G204" s="283"/>
      <c r="H204" s="283"/>
      <c r="I204" s="283"/>
      <c r="J204" s="283"/>
      <c r="K204" s="283"/>
      <c r="L204" s="283"/>
      <c r="M204" s="283"/>
      <c r="N204" s="283"/>
      <c r="O204" s="283"/>
      <c r="P204" s="283"/>
      <c r="Q204" s="283"/>
      <c r="R204" s="283"/>
      <c r="S204" s="283"/>
      <c r="T204" s="283"/>
      <c r="U204" s="283"/>
      <c r="V204" s="283"/>
      <c r="W204" s="283"/>
      <c r="X204" s="283"/>
      <c r="Y204" s="283"/>
      <c r="Z204" s="283"/>
      <c r="AA204" s="283"/>
    </row>
    <row r="205" spans="3:27" ht="52" x14ac:dyDescent="0.3">
      <c r="E205" s="99" t="s">
        <v>103</v>
      </c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283"/>
      <c r="U205" s="283"/>
      <c r="V205" s="283"/>
      <c r="W205" s="283"/>
      <c r="X205" s="283"/>
      <c r="Y205" s="283"/>
      <c r="Z205" s="283"/>
      <c r="AA205" s="283"/>
    </row>
    <row r="206" spans="3:27" ht="14.5" x14ac:dyDescent="0.35">
      <c r="E206" s="192">
        <v>0.15</v>
      </c>
      <c r="G206" s="210">
        <v>42.1</v>
      </c>
      <c r="H206" s="210">
        <v>46.4</v>
      </c>
      <c r="I206" s="210">
        <f>51.4</f>
        <v>51.4</v>
      </c>
      <c r="J206" s="283">
        <f>I206*1.25*(1-$E$206)</f>
        <v>54.612499999999997</v>
      </c>
      <c r="K206" s="283">
        <f t="shared" ref="K206:Z206" si="127">J206*1.25*(1-$E$206)</f>
        <v>58.025781250000001</v>
      </c>
      <c r="L206" s="283">
        <f t="shared" si="127"/>
        <v>61.652392578124996</v>
      </c>
      <c r="M206" s="283">
        <f t="shared" si="127"/>
        <v>65.505667114257804</v>
      </c>
      <c r="N206" s="283">
        <f t="shared" si="127"/>
        <v>69.599771308898909</v>
      </c>
      <c r="O206" s="283">
        <f t="shared" si="127"/>
        <v>73.949757015705089</v>
      </c>
      <c r="P206" s="283">
        <f t="shared" si="127"/>
        <v>78.571616829186652</v>
      </c>
      <c r="Q206" s="283">
        <f t="shared" si="127"/>
        <v>83.482342881010823</v>
      </c>
      <c r="R206" s="283">
        <f t="shared" si="127"/>
        <v>88.699989311073992</v>
      </c>
      <c r="S206" s="283">
        <f t="shared" si="127"/>
        <v>94.243738643016115</v>
      </c>
      <c r="T206" s="283">
        <f t="shared" si="127"/>
        <v>100.13397230820462</v>
      </c>
      <c r="U206" s="283">
        <f t="shared" si="127"/>
        <v>106.39234557746741</v>
      </c>
      <c r="V206" s="283">
        <f t="shared" si="127"/>
        <v>113.04186717605911</v>
      </c>
      <c r="W206" s="283">
        <f t="shared" si="127"/>
        <v>120.10698387456281</v>
      </c>
      <c r="X206" s="283">
        <f t="shared" si="127"/>
        <v>127.613670366723</v>
      </c>
      <c r="Y206" s="283">
        <f t="shared" si="127"/>
        <v>135.58952476464319</v>
      </c>
      <c r="Z206" s="283">
        <f t="shared" si="127"/>
        <v>144.06387006243338</v>
      </c>
      <c r="AA206" s="283">
        <f>Z206*1.25*(1-$E$206)</f>
        <v>153.06786194133545</v>
      </c>
    </row>
    <row r="207" spans="3:27" ht="14.5" x14ac:dyDescent="0.35">
      <c r="E207" s="194">
        <v>0.1</v>
      </c>
      <c r="G207" s="222">
        <v>42.1</v>
      </c>
      <c r="H207" s="222">
        <v>46.4</v>
      </c>
      <c r="I207" s="222">
        <f>51.4</f>
        <v>51.4</v>
      </c>
      <c r="J207" s="283">
        <f>I207*1.3*(1-$E$207)</f>
        <v>60.138000000000005</v>
      </c>
      <c r="K207" s="283">
        <f t="shared" ref="K207:AA207" si="128">J207*1.3*(1-$E$207)</f>
        <v>70.361460000000022</v>
      </c>
      <c r="L207" s="283">
        <f t="shared" si="128"/>
        <v>82.322908200000029</v>
      </c>
      <c r="M207" s="283">
        <f t="shared" si="128"/>
        <v>96.317802594000042</v>
      </c>
      <c r="N207" s="283">
        <f t="shared" si="128"/>
        <v>112.69182903498006</v>
      </c>
      <c r="O207" s="283">
        <f t="shared" si="128"/>
        <v>131.84943997092668</v>
      </c>
      <c r="P207" s="283">
        <f t="shared" si="128"/>
        <v>154.26384476598423</v>
      </c>
      <c r="Q207" s="283">
        <f t="shared" si="128"/>
        <v>180.48869837620157</v>
      </c>
      <c r="R207" s="283">
        <f t="shared" si="128"/>
        <v>211.17177710015582</v>
      </c>
      <c r="S207" s="283">
        <f t="shared" si="128"/>
        <v>247.07097920718232</v>
      </c>
      <c r="T207" s="283">
        <f t="shared" si="128"/>
        <v>289.07304567240334</v>
      </c>
      <c r="U207" s="283">
        <f t="shared" si="128"/>
        <v>338.2154634367119</v>
      </c>
      <c r="V207" s="283">
        <f t="shared" si="128"/>
        <v>395.71209222095291</v>
      </c>
      <c r="W207" s="283">
        <f t="shared" si="128"/>
        <v>462.98314789851491</v>
      </c>
      <c r="X207" s="283">
        <f t="shared" si="128"/>
        <v>541.69028304126243</v>
      </c>
      <c r="Y207" s="283">
        <f t="shared" si="128"/>
        <v>633.77763115827713</v>
      </c>
      <c r="Z207" s="283">
        <f t="shared" si="128"/>
        <v>741.51982845518421</v>
      </c>
      <c r="AA207" s="283">
        <f t="shared" si="128"/>
        <v>867.57819929256561</v>
      </c>
    </row>
    <row r="208" spans="3:27" ht="14.5" x14ac:dyDescent="0.35">
      <c r="E208" s="196">
        <v>0.05</v>
      </c>
      <c r="G208" s="232">
        <v>42.1</v>
      </c>
      <c r="H208" s="232">
        <v>46.4</v>
      </c>
      <c r="I208" s="232">
        <f>51.4</f>
        <v>51.4</v>
      </c>
      <c r="J208" s="283">
        <f>I208*1.35*(1-$E$208)</f>
        <v>65.920500000000004</v>
      </c>
      <c r="K208" s="283">
        <f t="shared" ref="K208:AA208" si="129">J208*1.35*(1-$E$208)</f>
        <v>84.543041250000002</v>
      </c>
      <c r="L208" s="283">
        <f t="shared" si="129"/>
        <v>108.426450403125</v>
      </c>
      <c r="M208" s="283">
        <f t="shared" si="129"/>
        <v>139.05692264200781</v>
      </c>
      <c r="N208" s="283">
        <f t="shared" si="129"/>
        <v>178.340503288375</v>
      </c>
      <c r="O208" s="283">
        <f t="shared" si="129"/>
        <v>228.72169546734094</v>
      </c>
      <c r="P208" s="283">
        <f t="shared" si="129"/>
        <v>293.33557443686476</v>
      </c>
      <c r="Q208" s="283">
        <f t="shared" si="129"/>
        <v>376.20287421527911</v>
      </c>
      <c r="R208" s="283">
        <f t="shared" si="129"/>
        <v>482.48018618109546</v>
      </c>
      <c r="S208" s="283">
        <f t="shared" si="129"/>
        <v>618.78083877725498</v>
      </c>
      <c r="T208" s="283">
        <f t="shared" si="129"/>
        <v>793.58642573182954</v>
      </c>
      <c r="U208" s="283">
        <f t="shared" si="129"/>
        <v>1017.7745910010714</v>
      </c>
      <c r="V208" s="283">
        <f t="shared" si="129"/>
        <v>1305.2959129588742</v>
      </c>
      <c r="W208" s="283">
        <f t="shared" si="129"/>
        <v>1674.0420083697561</v>
      </c>
      <c r="X208" s="283">
        <f t="shared" si="129"/>
        <v>2146.9588757342121</v>
      </c>
      <c r="Y208" s="283">
        <f t="shared" si="129"/>
        <v>2753.4747581291272</v>
      </c>
      <c r="Z208" s="283">
        <f>Y208*1.35*(1-$E$208)</f>
        <v>3531.3313773006057</v>
      </c>
      <c r="AA208" s="283">
        <f t="shared" si="129"/>
        <v>4528.9324913880273</v>
      </c>
    </row>
    <row r="209" spans="3:27" x14ac:dyDescent="0.3"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  <c r="S209" s="283"/>
      <c r="T209" s="283"/>
      <c r="U209" s="283"/>
      <c r="V209" s="283"/>
      <c r="W209" s="283"/>
      <c r="X209" s="283"/>
      <c r="Y209" s="283"/>
      <c r="Z209" s="283"/>
      <c r="AA209" s="283"/>
    </row>
    <row r="210" spans="3:27" x14ac:dyDescent="0.3"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  <c r="S210" s="283"/>
      <c r="T210" s="283"/>
      <c r="U210" s="283"/>
      <c r="V210" s="283"/>
      <c r="W210" s="283"/>
      <c r="X210" s="283"/>
      <c r="Y210" s="283"/>
      <c r="Z210" s="283"/>
      <c r="AA210" s="283"/>
    </row>
    <row r="211" spans="3:27" x14ac:dyDescent="0.3">
      <c r="G211" s="283"/>
      <c r="H211" s="283"/>
      <c r="I211" s="283"/>
      <c r="J211" s="283"/>
      <c r="K211" s="283"/>
      <c r="L211" s="283"/>
      <c r="M211" s="283"/>
      <c r="N211" s="283"/>
      <c r="O211" s="283"/>
      <c r="P211" s="283"/>
      <c r="Q211" s="283"/>
      <c r="R211" s="283"/>
      <c r="S211" s="283"/>
      <c r="T211" s="283"/>
      <c r="U211" s="283"/>
      <c r="V211" s="283"/>
      <c r="W211" s="283"/>
      <c r="X211" s="283"/>
      <c r="Y211" s="283"/>
      <c r="Z211" s="283"/>
      <c r="AA211" s="283"/>
    </row>
    <row r="212" spans="3:27" x14ac:dyDescent="0.3">
      <c r="G212" s="283"/>
      <c r="H212" s="283"/>
      <c r="I212" s="283"/>
      <c r="J212" s="283"/>
      <c r="K212" s="283"/>
      <c r="L212" s="283"/>
      <c r="M212" s="283"/>
      <c r="N212" s="283"/>
      <c r="O212" s="283"/>
      <c r="P212" s="283"/>
      <c r="Q212" s="283"/>
      <c r="R212" s="283"/>
      <c r="S212" s="283"/>
      <c r="T212" s="283"/>
      <c r="U212" s="283"/>
      <c r="V212" s="283"/>
      <c r="W212" s="283"/>
      <c r="X212" s="283"/>
      <c r="Y212" s="283"/>
      <c r="Z212" s="283"/>
      <c r="AA212" s="283"/>
    </row>
    <row r="213" spans="3:27" x14ac:dyDescent="0.3">
      <c r="G213" s="283"/>
      <c r="H213" s="283"/>
      <c r="I213" s="283"/>
      <c r="J213" s="283"/>
      <c r="K213" s="283"/>
      <c r="L213" s="283"/>
      <c r="M213" s="283"/>
      <c r="N213" s="283"/>
      <c r="O213" s="283"/>
      <c r="P213" s="283"/>
      <c r="Q213" s="283"/>
      <c r="R213" s="283"/>
      <c r="S213" s="283"/>
      <c r="T213" s="283"/>
      <c r="U213" s="283"/>
      <c r="V213" s="283"/>
      <c r="W213" s="283"/>
      <c r="X213" s="283"/>
      <c r="Y213" s="283"/>
      <c r="Z213" s="283"/>
      <c r="AA213" s="283"/>
    </row>
    <row r="214" spans="3:27" x14ac:dyDescent="0.3"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  <c r="AA214" s="283"/>
    </row>
    <row r="215" spans="3:27" x14ac:dyDescent="0.3">
      <c r="G215" s="283"/>
      <c r="H215" s="283"/>
      <c r="I215" s="283"/>
      <c r="J215" s="283"/>
      <c r="K215" s="283"/>
      <c r="L215" s="283"/>
      <c r="M215" s="283"/>
      <c r="N215" s="283"/>
      <c r="O215" s="283"/>
      <c r="P215" s="283"/>
      <c r="Q215" s="283"/>
      <c r="R215" s="283"/>
      <c r="S215" s="283"/>
      <c r="T215" s="283"/>
      <c r="U215" s="283"/>
      <c r="V215" s="283"/>
      <c r="W215" s="283"/>
      <c r="X215" s="283"/>
      <c r="Y215" s="283"/>
      <c r="Z215" s="283"/>
      <c r="AA215" s="283"/>
    </row>
    <row r="216" spans="3:27" x14ac:dyDescent="0.3">
      <c r="E216" s="38">
        <v>2010</v>
      </c>
      <c r="F216" s="38">
        <v>2011</v>
      </c>
      <c r="G216" s="89">
        <v>2012</v>
      </c>
      <c r="H216" s="89">
        <v>2013</v>
      </c>
      <c r="I216" s="118">
        <v>2014</v>
      </c>
      <c r="J216" s="89">
        <v>2015</v>
      </c>
      <c r="K216" s="89">
        <v>2016</v>
      </c>
      <c r="L216" s="89">
        <v>2017</v>
      </c>
      <c r="M216" s="89">
        <v>2018</v>
      </c>
      <c r="N216" s="89">
        <v>2019</v>
      </c>
      <c r="O216" s="89">
        <v>2020</v>
      </c>
      <c r="P216" s="89">
        <v>2021</v>
      </c>
      <c r="Q216" s="89">
        <v>2022</v>
      </c>
      <c r="R216" s="89">
        <v>2023</v>
      </c>
      <c r="S216" s="89">
        <v>2024</v>
      </c>
      <c r="T216" s="89">
        <v>2025</v>
      </c>
      <c r="U216" s="89">
        <v>2026</v>
      </c>
      <c r="V216" s="89">
        <v>2027</v>
      </c>
      <c r="W216" s="89">
        <v>2028</v>
      </c>
      <c r="X216" s="89">
        <v>2029</v>
      </c>
      <c r="Y216" s="89">
        <v>2030</v>
      </c>
      <c r="Z216" s="89"/>
      <c r="AA216" s="89"/>
    </row>
    <row r="217" spans="3:27" x14ac:dyDescent="0.3">
      <c r="D217" s="89" t="s">
        <v>331</v>
      </c>
      <c r="E217" s="89">
        <f>G104</f>
        <v>134.69477647058824</v>
      </c>
      <c r="F217" s="89">
        <f t="shared" ref="F217:Y217" si="130">H104</f>
        <v>125.90228225999998</v>
      </c>
      <c r="G217" s="89">
        <f t="shared" si="130"/>
        <v>116.00045411541173</v>
      </c>
      <c r="H217" s="89">
        <f t="shared" si="130"/>
        <v>95.669677678492206</v>
      </c>
      <c r="I217" s="89">
        <f t="shared" si="130"/>
        <v>78.76252347857988</v>
      </c>
      <c r="J217" s="89">
        <f t="shared" si="130"/>
        <v>64.470301470187195</v>
      </c>
      <c r="K217" s="89">
        <f t="shared" si="130"/>
        <v>52.282858884050803</v>
      </c>
      <c r="L217" s="89">
        <f t="shared" si="130"/>
        <v>41.282642254314034</v>
      </c>
      <c r="M217" s="89">
        <f t="shared" si="130"/>
        <v>34.969549988503182</v>
      </c>
      <c r="N217" s="89">
        <f t="shared" si="130"/>
        <v>29.552460650839553</v>
      </c>
      <c r="O217" s="89">
        <f t="shared" si="130"/>
        <v>25.72036635403629</v>
      </c>
      <c r="P217" s="89">
        <f t="shared" si="130"/>
        <v>20.767071186384143</v>
      </c>
      <c r="Q217" s="89">
        <f t="shared" si="130"/>
        <v>23.997861215634739</v>
      </c>
      <c r="R217" s="89">
        <f t="shared" si="130"/>
        <v>26.252037178884116</v>
      </c>
      <c r="S217" s="89">
        <f t="shared" si="130"/>
        <v>31.162568851999698</v>
      </c>
      <c r="T217" s="89">
        <f t="shared" si="130"/>
        <v>38.094407099255292</v>
      </c>
      <c r="U217" s="89">
        <f t="shared" si="130"/>
        <v>54.457061579801149</v>
      </c>
      <c r="V217" s="89">
        <f t="shared" si="130"/>
        <v>74.05540233558898</v>
      </c>
      <c r="W217" s="89">
        <f t="shared" si="130"/>
        <v>98.221878959063019</v>
      </c>
      <c r="X217" s="89">
        <f t="shared" si="130"/>
        <v>130.60334361057156</v>
      </c>
      <c r="Y217" s="89">
        <f t="shared" si="130"/>
        <v>175.53953450398603</v>
      </c>
      <c r="Z217" s="89"/>
      <c r="AA217" s="89"/>
    </row>
    <row r="218" spans="3:27" x14ac:dyDescent="0.3">
      <c r="D218" s="89" t="s">
        <v>332</v>
      </c>
      <c r="E218" s="89">
        <f>G128</f>
        <v>203.6523670588235</v>
      </c>
      <c r="F218" s="89">
        <f t="shared" ref="F218:Y218" si="131">H128</f>
        <v>200.25585422315291</v>
      </c>
      <c r="G218" s="89">
        <f t="shared" si="131"/>
        <v>196.62237023116231</v>
      </c>
      <c r="H218" s="89">
        <f t="shared" si="131"/>
        <v>181.00294595484499</v>
      </c>
      <c r="I218" s="89">
        <f t="shared" si="131"/>
        <v>166.57890688496164</v>
      </c>
      <c r="J218" s="89">
        <f t="shared" si="131"/>
        <v>151.9210282542038</v>
      </c>
      <c r="K218" s="89">
        <f t="shared" si="131"/>
        <v>136.17773569511598</v>
      </c>
      <c r="L218" s="89">
        <f t="shared" si="131"/>
        <v>118.87289457839924</v>
      </c>
      <c r="M218" s="89">
        <f t="shared" si="131"/>
        <v>110.58128641127578</v>
      </c>
      <c r="N218" s="89">
        <f t="shared" si="131"/>
        <v>102.90597592427439</v>
      </c>
      <c r="O218" s="89">
        <f t="shared" si="131"/>
        <v>98.075430999759973</v>
      </c>
      <c r="P218" s="89">
        <f t="shared" si="131"/>
        <v>94.050039213416241</v>
      </c>
      <c r="Q218" s="89">
        <f t="shared" si="131"/>
        <v>91.950835033488744</v>
      </c>
      <c r="R218" s="89">
        <f t="shared" si="131"/>
        <v>94.765225946868043</v>
      </c>
      <c r="S218" s="89">
        <f t="shared" si="131"/>
        <v>102.41427604914661</v>
      </c>
      <c r="T218" s="89">
        <f t="shared" si="131"/>
        <v>115.73751401855871</v>
      </c>
      <c r="U218" s="89">
        <f t="shared" si="131"/>
        <v>142.25244299770935</v>
      </c>
      <c r="V218" s="89">
        <f t="shared" si="131"/>
        <v>181.49651941864687</v>
      </c>
      <c r="W218" s="89">
        <f t="shared" si="131"/>
        <v>237.21846870316199</v>
      </c>
      <c r="X218" s="89">
        <f t="shared" si="131"/>
        <v>320.31197017249252</v>
      </c>
      <c r="Y218" s="89">
        <f t="shared" si="131"/>
        <v>445.62740445665224</v>
      </c>
      <c r="Z218" s="89"/>
      <c r="AA218" s="89"/>
    </row>
    <row r="219" spans="3:27" x14ac:dyDescent="0.3">
      <c r="C219" s="56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</row>
    <row r="220" spans="3:27" x14ac:dyDescent="0.3">
      <c r="C220" s="56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</row>
    <row r="221" spans="3:27" x14ac:dyDescent="0.3">
      <c r="C221" s="56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</row>
    <row r="222" spans="3:27" x14ac:dyDescent="0.3">
      <c r="C222" s="56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</row>
    <row r="223" spans="3:27" x14ac:dyDescent="0.3">
      <c r="C223" s="56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</row>
    <row r="224" spans="3:27" x14ac:dyDescent="0.3">
      <c r="C224" s="56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</row>
    <row r="225" spans="3:27" x14ac:dyDescent="0.3">
      <c r="C225" s="56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</row>
    <row r="226" spans="3:27" x14ac:dyDescent="0.3">
      <c r="C226" s="56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</row>
    <row r="227" spans="3:27" x14ac:dyDescent="0.3">
      <c r="C227" s="56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</row>
    <row r="228" spans="3:27" x14ac:dyDescent="0.3">
      <c r="C228" s="56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</row>
    <row r="229" spans="3:27" x14ac:dyDescent="0.3">
      <c r="C229" s="56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</row>
    <row r="230" spans="3:27" x14ac:dyDescent="0.3">
      <c r="C230" s="56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</row>
    <row r="231" spans="3:27" x14ac:dyDescent="0.3">
      <c r="C231" s="56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</row>
    <row r="232" spans="3:27" x14ac:dyDescent="0.3">
      <c r="C232" s="56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</row>
    <row r="233" spans="3:27" x14ac:dyDescent="0.3">
      <c r="C233" s="56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</row>
    <row r="234" spans="3:27" x14ac:dyDescent="0.3">
      <c r="C234" s="56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118" t="s">
        <v>273</v>
      </c>
      <c r="X234" s="89"/>
      <c r="Y234" s="89"/>
      <c r="Z234" s="89"/>
      <c r="AA234" s="89"/>
    </row>
    <row r="235" spans="3:27" x14ac:dyDescent="0.3">
      <c r="C235" s="56" t="s">
        <v>196</v>
      </c>
      <c r="E235" s="89">
        <v>10</v>
      </c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</row>
    <row r="236" spans="3:27" x14ac:dyDescent="0.3">
      <c r="C236" s="56" t="s">
        <v>197</v>
      </c>
      <c r="E236" s="89">
        <v>20</v>
      </c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</row>
    <row r="237" spans="3:27" x14ac:dyDescent="0.3">
      <c r="C237" s="56" t="s">
        <v>198</v>
      </c>
      <c r="E237" s="89">
        <v>30</v>
      </c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</row>
    <row r="238" spans="3:27" x14ac:dyDescent="0.3">
      <c r="C238" s="56" t="s">
        <v>199</v>
      </c>
      <c r="E238" s="89">
        <v>40</v>
      </c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</row>
    <row r="239" spans="3:27" x14ac:dyDescent="0.3">
      <c r="C239" s="56" t="s">
        <v>200</v>
      </c>
      <c r="E239" s="89">
        <v>50</v>
      </c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</row>
    <row r="240" spans="3:27" x14ac:dyDescent="0.3">
      <c r="C240" s="56" t="s">
        <v>201</v>
      </c>
      <c r="E240" s="89">
        <v>60</v>
      </c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</row>
    <row r="241" spans="3:27" x14ac:dyDescent="0.3">
      <c r="C241" s="56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</row>
    <row r="242" spans="3:27" x14ac:dyDescent="0.3">
      <c r="C242" s="56" t="s">
        <v>202</v>
      </c>
      <c r="E242" s="270">
        <f>1/8*1/2^60</f>
        <v>1.0842021724855044E-19</v>
      </c>
      <c r="F242" s="38" t="s">
        <v>206</v>
      </c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</row>
    <row r="243" spans="3:27" x14ac:dyDescent="0.3">
      <c r="C243" s="56" t="s">
        <v>203</v>
      </c>
      <c r="E243" s="270">
        <f>1/1000000*1/3.6*1/1000000000</f>
        <v>2.7777777777777775E-16</v>
      </c>
      <c r="F243" s="89" t="s">
        <v>101</v>
      </c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</row>
    <row r="244" spans="3:27" x14ac:dyDescent="0.3">
      <c r="C244" s="56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</row>
    <row r="245" spans="3:27" x14ac:dyDescent="0.3">
      <c r="C245" s="56" t="s">
        <v>204</v>
      </c>
      <c r="E245" s="271">
        <f>E242/E243</f>
        <v>3.9031278209478165E-4</v>
      </c>
      <c r="F245" s="89" t="s">
        <v>208</v>
      </c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</row>
    <row r="246" spans="3:27" x14ac:dyDescent="0.3">
      <c r="C246" s="56" t="s">
        <v>205</v>
      </c>
      <c r="E246" s="89">
        <f>1/E245</f>
        <v>2562.0477880152152</v>
      </c>
      <c r="F246" s="89" t="s">
        <v>207</v>
      </c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</row>
    <row r="247" spans="3:27" x14ac:dyDescent="0.3">
      <c r="C247" s="56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</row>
    <row r="248" spans="3:27" x14ac:dyDescent="0.3">
      <c r="C248" s="56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</row>
    <row r="249" spans="3:27" x14ac:dyDescent="0.3">
      <c r="C249" s="56" t="s">
        <v>209</v>
      </c>
      <c r="E249" s="270">
        <f>1000/1000000000000</f>
        <v>1.0000000000000001E-9</v>
      </c>
      <c r="F249" s="89" t="s">
        <v>101</v>
      </c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</row>
    <row r="250" spans="3:27" x14ac:dyDescent="0.3">
      <c r="C250" s="56" t="s">
        <v>210</v>
      </c>
      <c r="E250" s="270">
        <f>2^40/2^60</f>
        <v>9.5367431640625E-7</v>
      </c>
      <c r="F250" s="89" t="s">
        <v>43</v>
      </c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</row>
    <row r="251" spans="3:27" x14ac:dyDescent="0.3">
      <c r="C251" s="56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T251" s="89"/>
      <c r="U251" s="89"/>
      <c r="V251" s="89"/>
      <c r="W251" s="89"/>
      <c r="X251" s="89"/>
      <c r="Y251" s="89"/>
      <c r="Z251" s="89"/>
      <c r="AA251" s="89"/>
    </row>
    <row r="252" spans="3:27" x14ac:dyDescent="0.3">
      <c r="C252" s="56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</row>
    <row r="253" spans="3:27" x14ac:dyDescent="0.3">
      <c r="C253" s="56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</row>
    <row r="254" spans="3:27" x14ac:dyDescent="0.3">
      <c r="C254" s="56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</row>
    <row r="255" spans="3:27" x14ac:dyDescent="0.3">
      <c r="G255" s="89"/>
      <c r="H255" s="89"/>
      <c r="I255" s="118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</row>
    <row r="256" spans="3:27" x14ac:dyDescent="0.3">
      <c r="G256" s="89"/>
      <c r="H256" s="89"/>
      <c r="I256" s="118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</row>
    <row r="257" spans="4:27" x14ac:dyDescent="0.3"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</row>
    <row r="263" spans="4:27" x14ac:dyDescent="0.3">
      <c r="E263" s="70">
        <v>2010</v>
      </c>
      <c r="F263" s="70">
        <v>2011</v>
      </c>
      <c r="G263" s="70">
        <v>2012</v>
      </c>
      <c r="H263" s="70">
        <v>2013</v>
      </c>
      <c r="I263" s="70">
        <v>2014</v>
      </c>
      <c r="J263" s="70">
        <v>2015</v>
      </c>
      <c r="K263" s="70">
        <v>2016</v>
      </c>
      <c r="L263" s="70">
        <v>2017</v>
      </c>
      <c r="M263" s="70">
        <v>2018</v>
      </c>
      <c r="N263" s="70">
        <v>2019</v>
      </c>
      <c r="O263" s="70">
        <v>2020</v>
      </c>
      <c r="P263" s="70">
        <v>2021</v>
      </c>
      <c r="Q263" s="70">
        <v>2022</v>
      </c>
      <c r="R263" s="70">
        <v>2023</v>
      </c>
      <c r="S263" s="70">
        <v>2024</v>
      </c>
      <c r="T263" s="70">
        <v>2025</v>
      </c>
      <c r="U263" s="70">
        <v>2026</v>
      </c>
      <c r="V263" s="70">
        <v>2027</v>
      </c>
      <c r="W263" s="70">
        <v>2028</v>
      </c>
      <c r="X263" s="70">
        <v>2029</v>
      </c>
      <c r="Y263" s="70">
        <v>2030</v>
      </c>
    </row>
    <row r="264" spans="4:27" x14ac:dyDescent="0.3">
      <c r="D264" s="38" t="s">
        <v>267</v>
      </c>
      <c r="E264" s="297">
        <f>G172</f>
        <v>162</v>
      </c>
      <c r="F264" s="297">
        <f t="shared" ref="F264:Y264" si="132">H172</f>
        <v>178</v>
      </c>
      <c r="G264" s="297">
        <f t="shared" si="132"/>
        <v>196.24</v>
      </c>
      <c r="H264" s="297">
        <f t="shared" si="132"/>
        <v>185.41757276595743</v>
      </c>
      <c r="I264" s="297">
        <f t="shared" si="132"/>
        <v>175.63409854638297</v>
      </c>
      <c r="J264" s="297">
        <f t="shared" si="132"/>
        <v>166.78983785188765</v>
      </c>
      <c r="K264" s="297">
        <f t="shared" si="132"/>
        <v>158.79462618406387</v>
      </c>
      <c r="L264" s="297">
        <f t="shared" si="132"/>
        <v>151.56695483635119</v>
      </c>
      <c r="M264" s="297">
        <f t="shared" si="132"/>
        <v>145.03313993801893</v>
      </c>
      <c r="N264" s="297">
        <f t="shared" si="132"/>
        <v>139.12657126992653</v>
      </c>
      <c r="O264" s="297">
        <f t="shared" si="132"/>
        <v>133.78703319397104</v>
      </c>
      <c r="P264" s="297">
        <f t="shared" si="132"/>
        <v>128.96009077330729</v>
      </c>
      <c r="Q264" s="297">
        <f t="shared" si="132"/>
        <v>126.15399151034006</v>
      </c>
      <c r="R264" s="297">
        <f t="shared" si="132"/>
        <v>125.21402946965131</v>
      </c>
      <c r="S264" s="297">
        <f t="shared" si="132"/>
        <v>126.06996946086254</v>
      </c>
      <c r="T264" s="297">
        <f t="shared" si="132"/>
        <v>128.72893279459115</v>
      </c>
      <c r="U264" s="297">
        <f t="shared" si="132"/>
        <v>137.9777003315159</v>
      </c>
      <c r="V264" s="297">
        <f t="shared" si="132"/>
        <v>151.53917699279796</v>
      </c>
      <c r="W264" s="297">
        <f t="shared" si="132"/>
        <v>168.58577162374181</v>
      </c>
      <c r="X264" s="297">
        <f t="shared" si="132"/>
        <v>191.99800415877064</v>
      </c>
      <c r="Y264" s="297">
        <f t="shared" si="132"/>
        <v>223.72192736620448</v>
      </c>
    </row>
    <row r="265" spans="4:27" x14ac:dyDescent="0.3">
      <c r="D265" s="38" t="s">
        <v>268</v>
      </c>
      <c r="E265" s="297">
        <f>G175</f>
        <v>162</v>
      </c>
      <c r="F265" s="297">
        <f t="shared" ref="F265:Y265" si="133">H175</f>
        <v>178</v>
      </c>
      <c r="G265" s="297">
        <f t="shared" si="133"/>
        <v>196.24</v>
      </c>
      <c r="H265" s="297">
        <f t="shared" si="133"/>
        <v>189.65969702127663</v>
      </c>
      <c r="I265" s="297">
        <f t="shared" si="133"/>
        <v>184.08601338553194</v>
      </c>
      <c r="J265" s="297">
        <f t="shared" si="133"/>
        <v>179.44746869781792</v>
      </c>
      <c r="K265" s="297">
        <f t="shared" si="133"/>
        <v>178.3749784510639</v>
      </c>
      <c r="L265" s="297">
        <f t="shared" si="133"/>
        <v>175.48403824422135</v>
      </c>
      <c r="M265" s="297">
        <f t="shared" si="133"/>
        <v>173.35974309145502</v>
      </c>
      <c r="N265" s="297">
        <f t="shared" si="133"/>
        <v>171.95511792064113</v>
      </c>
      <c r="O265" s="297">
        <f t="shared" si="133"/>
        <v>171.22814105370821</v>
      </c>
      <c r="P265" s="297">
        <f t="shared" si="133"/>
        <v>171.14134109146875</v>
      </c>
      <c r="Q265" s="297">
        <f t="shared" si="133"/>
        <v>173.80719846622486</v>
      </c>
      <c r="R265" s="297">
        <f t="shared" si="133"/>
        <v>179.29142197934556</v>
      </c>
      <c r="S265" s="297">
        <f t="shared" si="133"/>
        <v>187.79049610537172</v>
      </c>
      <c r="T265" s="297">
        <f t="shared" si="133"/>
        <v>199.64246734084227</v>
      </c>
      <c r="U265" s="297">
        <f t="shared" si="133"/>
        <v>222.9488690176</v>
      </c>
      <c r="V265" s="297">
        <f t="shared" si="133"/>
        <v>255.26656817614005</v>
      </c>
      <c r="W265" s="297">
        <f t="shared" si="133"/>
        <v>296.1879146172372</v>
      </c>
      <c r="X265" s="297">
        <f t="shared" si="133"/>
        <v>351.95004861788806</v>
      </c>
      <c r="Y265" s="297">
        <f t="shared" si="133"/>
        <v>428.00745525592885</v>
      </c>
    </row>
    <row r="266" spans="4:27" x14ac:dyDescent="0.3">
      <c r="D266" s="38" t="s">
        <v>269</v>
      </c>
      <c r="E266" s="297">
        <f>G180</f>
        <v>162</v>
      </c>
      <c r="F266" s="297">
        <f t="shared" ref="F266:Y266" si="134">H180</f>
        <v>178</v>
      </c>
      <c r="G266" s="297">
        <f t="shared" si="134"/>
        <v>196.24</v>
      </c>
      <c r="H266" s="297">
        <f t="shared" si="134"/>
        <v>230.25841276595744</v>
      </c>
      <c r="I266" s="297">
        <f t="shared" si="134"/>
        <v>271.90573381914896</v>
      </c>
      <c r="J266" s="297">
        <f t="shared" si="134"/>
        <v>323.1538601186968</v>
      </c>
      <c r="K266" s="297">
        <f t="shared" si="134"/>
        <v>386.51479707371345</v>
      </c>
      <c r="L266" s="297">
        <f t="shared" si="134"/>
        <v>465.19167107963466</v>
      </c>
      <c r="M266" s="297">
        <f t="shared" si="134"/>
        <v>563.2722580467439</v>
      </c>
      <c r="N266" s="297">
        <f t="shared" si="134"/>
        <v>685.97702527161937</v>
      </c>
      <c r="O266" s="297">
        <f t="shared" si="134"/>
        <v>839.9770720127392</v>
      </c>
      <c r="P266" s="297">
        <f t="shared" si="134"/>
        <v>1033.80169914015</v>
      </c>
      <c r="Q266" s="297">
        <f t="shared" si="134"/>
        <v>1278.3609105773071</v>
      </c>
      <c r="R266" s="297">
        <f t="shared" si="134"/>
        <v>1587.6152956527419</v>
      </c>
      <c r="S266" s="297">
        <f t="shared" si="134"/>
        <v>1979.434906586941</v>
      </c>
      <c r="T266" s="297">
        <f t="shared" si="134"/>
        <v>2476.7004994269396</v>
      </c>
      <c r="U266" s="297">
        <f t="shared" si="134"/>
        <v>3108.7155811791877</v>
      </c>
      <c r="V266" s="297">
        <f t="shared" si="134"/>
        <v>3913.0170386628783</v>
      </c>
      <c r="W266" s="297">
        <f t="shared" si="134"/>
        <v>4937.6969186722645</v>
      </c>
      <c r="X266" s="297">
        <f t="shared" si="134"/>
        <v>6244.379727193611</v>
      </c>
      <c r="Y266" s="297">
        <f t="shared" si="134"/>
        <v>7912.04039630441</v>
      </c>
    </row>
    <row r="277" spans="12:12" x14ac:dyDescent="0.3">
      <c r="L277" s="127" t="s">
        <v>274</v>
      </c>
    </row>
    <row r="304" spans="5:25" x14ac:dyDescent="0.3">
      <c r="E304" s="70">
        <v>2010</v>
      </c>
      <c r="F304" s="70">
        <v>2011</v>
      </c>
      <c r="G304" s="70">
        <v>2012</v>
      </c>
      <c r="H304" s="70">
        <v>2013</v>
      </c>
      <c r="I304" s="70">
        <v>2014</v>
      </c>
      <c r="J304" s="70">
        <v>2015</v>
      </c>
      <c r="K304" s="70">
        <v>2016</v>
      </c>
      <c r="L304" s="70">
        <v>2017</v>
      </c>
      <c r="M304" s="70">
        <v>2018</v>
      </c>
      <c r="N304" s="70">
        <v>2019</v>
      </c>
      <c r="O304" s="70">
        <v>2020</v>
      </c>
      <c r="P304" s="70">
        <v>2021</v>
      </c>
      <c r="Q304" s="70">
        <v>2022</v>
      </c>
      <c r="R304" s="70">
        <v>2023</v>
      </c>
      <c r="S304" s="70">
        <v>2024</v>
      </c>
      <c r="T304" s="70">
        <v>2025</v>
      </c>
      <c r="U304" s="70">
        <v>2026</v>
      </c>
      <c r="V304" s="70">
        <v>2027</v>
      </c>
      <c r="W304" s="70">
        <v>2028</v>
      </c>
      <c r="X304" s="70">
        <v>2029</v>
      </c>
      <c r="Y304" s="70">
        <v>2030</v>
      </c>
    </row>
    <row r="305" spans="4:25" x14ac:dyDescent="0.3">
      <c r="D305" s="38" t="s">
        <v>270</v>
      </c>
      <c r="E305" s="89">
        <f t="shared" ref="E305:Y305" si="135">G190</f>
        <v>42.1</v>
      </c>
      <c r="F305" s="89">
        <f t="shared" si="135"/>
        <v>46.4</v>
      </c>
      <c r="G305" s="89">
        <f t="shared" si="135"/>
        <v>51.4</v>
      </c>
      <c r="H305" s="89">
        <f t="shared" si="135"/>
        <v>51.400000000000006</v>
      </c>
      <c r="I305" s="89">
        <f t="shared" si="135"/>
        <v>51.400000000000006</v>
      </c>
      <c r="J305" s="89">
        <f t="shared" si="135"/>
        <v>51.400000000000006</v>
      </c>
      <c r="K305" s="89">
        <f t="shared" si="135"/>
        <v>51.400000000000006</v>
      </c>
      <c r="L305" s="89">
        <f t="shared" si="135"/>
        <v>51.400000000000006</v>
      </c>
      <c r="M305" s="89">
        <f t="shared" si="135"/>
        <v>51.400000000000006</v>
      </c>
      <c r="N305" s="89">
        <f t="shared" si="135"/>
        <v>51.400000000000006</v>
      </c>
      <c r="O305" s="89">
        <f t="shared" si="135"/>
        <v>51.400000000000006</v>
      </c>
      <c r="P305" s="89">
        <f t="shared" si="135"/>
        <v>51.400000000000006</v>
      </c>
      <c r="Q305" s="89">
        <f t="shared" si="135"/>
        <v>52.042500000000004</v>
      </c>
      <c r="R305" s="89">
        <f t="shared" si="135"/>
        <v>53.343562500000004</v>
      </c>
      <c r="S305" s="297">
        <f t="shared" si="135"/>
        <v>55.343946093750006</v>
      </c>
      <c r="T305" s="297">
        <f t="shared" si="135"/>
        <v>58.111143398437498</v>
      </c>
      <c r="U305" s="297">
        <f t="shared" si="135"/>
        <v>63.922257738281253</v>
      </c>
      <c r="V305" s="297">
        <f t="shared" si="135"/>
        <v>71.912539955566416</v>
      </c>
      <c r="W305" s="297">
        <f t="shared" si="135"/>
        <v>81.800514199456813</v>
      </c>
      <c r="X305" s="297">
        <f t="shared" si="135"/>
        <v>95.093097756868545</v>
      </c>
      <c r="Y305" s="297">
        <f t="shared" si="135"/>
        <v>112.92305358628138</v>
      </c>
    </row>
    <row r="306" spans="4:25" x14ac:dyDescent="0.3">
      <c r="D306" s="38" t="s">
        <v>271</v>
      </c>
      <c r="E306" s="89">
        <f t="shared" ref="E306:Y306" si="136">G193</f>
        <v>42.1</v>
      </c>
      <c r="F306" s="89">
        <f t="shared" si="136"/>
        <v>46.4</v>
      </c>
      <c r="G306" s="89">
        <f t="shared" si="136"/>
        <v>51.4</v>
      </c>
      <c r="H306" s="89">
        <f t="shared" si="136"/>
        <v>53.45600000000001</v>
      </c>
      <c r="I306" s="89">
        <f t="shared" si="136"/>
        <v>55.594240000000013</v>
      </c>
      <c r="J306" s="89">
        <f t="shared" si="136"/>
        <v>57.818009600000018</v>
      </c>
      <c r="K306" s="89">
        <f t="shared" si="136"/>
        <v>61.581312000000018</v>
      </c>
      <c r="L306" s="89">
        <f t="shared" si="136"/>
        <v>64.04456448000002</v>
      </c>
      <c r="M306" s="89">
        <f t="shared" si="136"/>
        <v>66.606347059200033</v>
      </c>
      <c r="N306" s="89">
        <f t="shared" si="136"/>
        <v>69.270600941568034</v>
      </c>
      <c r="O306" s="89">
        <f t="shared" si="136"/>
        <v>72.041424979230769</v>
      </c>
      <c r="P306" s="89">
        <f t="shared" si="136"/>
        <v>74.923081978400006</v>
      </c>
      <c r="Q306" s="89">
        <f t="shared" si="136"/>
        <v>78.894005323255215</v>
      </c>
      <c r="R306" s="89">
        <f t="shared" si="136"/>
        <v>84.10100967459006</v>
      </c>
      <c r="S306" s="297">
        <f t="shared" si="136"/>
        <v>90.744989438882669</v>
      </c>
      <c r="T306" s="297">
        <f t="shared" si="136"/>
        <v>99.093528467259873</v>
      </c>
      <c r="U306" s="297">
        <f t="shared" si="136"/>
        <v>113.36299656654531</v>
      </c>
      <c r="V306" s="297">
        <f t="shared" si="136"/>
        <v>132.63470598285801</v>
      </c>
      <c r="W306" s="297">
        <f t="shared" si="136"/>
        <v>156.90685717772104</v>
      </c>
      <c r="X306" s="297">
        <f t="shared" si="136"/>
        <v>189.70039032786474</v>
      </c>
      <c r="Y306" s="297">
        <f t="shared" si="136"/>
        <v>234.27998205491295</v>
      </c>
    </row>
    <row r="307" spans="4:25" x14ac:dyDescent="0.3">
      <c r="D307" s="38" t="s">
        <v>272</v>
      </c>
      <c r="E307" s="89">
        <f t="shared" ref="E307:Y307" si="137">G198</f>
        <v>42.1</v>
      </c>
      <c r="F307" s="89">
        <f t="shared" si="137"/>
        <v>46.4</v>
      </c>
      <c r="G307" s="89">
        <f t="shared" si="137"/>
        <v>51.4</v>
      </c>
      <c r="H307" s="89">
        <f t="shared" si="137"/>
        <v>65.920500000000004</v>
      </c>
      <c r="I307" s="89">
        <f t="shared" si="137"/>
        <v>84.543041250000002</v>
      </c>
      <c r="J307" s="89">
        <f t="shared" si="137"/>
        <v>108.426450403125</v>
      </c>
      <c r="K307" s="89">
        <f t="shared" si="137"/>
        <v>139.05692264200781</v>
      </c>
      <c r="L307" s="89">
        <f t="shared" si="137"/>
        <v>178.340503288375</v>
      </c>
      <c r="M307" s="89">
        <f t="shared" si="137"/>
        <v>228.72169546734094</v>
      </c>
      <c r="N307" s="89">
        <f t="shared" si="137"/>
        <v>293.33557443686476</v>
      </c>
      <c r="O307" s="89">
        <f t="shared" si="137"/>
        <v>376.202874215279</v>
      </c>
      <c r="P307" s="89">
        <f t="shared" si="137"/>
        <v>482.48018618109529</v>
      </c>
      <c r="Q307" s="89">
        <f t="shared" si="137"/>
        <v>618.78083877725476</v>
      </c>
      <c r="R307" s="89">
        <f t="shared" si="137"/>
        <v>793.58642573182931</v>
      </c>
      <c r="S307" s="297">
        <f t="shared" si="137"/>
        <v>1017.7745910010711</v>
      </c>
      <c r="T307" s="297">
        <f t="shared" si="137"/>
        <v>1305.2959129588735</v>
      </c>
      <c r="U307" s="297">
        <f t="shared" si="137"/>
        <v>1674.0420083697552</v>
      </c>
      <c r="V307" s="297">
        <f t="shared" si="137"/>
        <v>2146.9588757342108</v>
      </c>
      <c r="W307" s="297">
        <f t="shared" si="137"/>
        <v>2753.4747581291258</v>
      </c>
      <c r="X307" s="297">
        <f t="shared" si="137"/>
        <v>3531.331377300603</v>
      </c>
      <c r="Y307" s="297">
        <f t="shared" si="137"/>
        <v>4528.9324913880237</v>
      </c>
    </row>
  </sheetData>
  <pageMargins left="0.75" right="0.75" top="1" bottom="1" header="0.5" footer="0.5"/>
  <pageSetup orientation="portrait" horizontalDpi="200" verticalDpi="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0"/>
  <sheetViews>
    <sheetView zoomScale="20" zoomScaleNormal="20" workbookViewId="0">
      <selection activeCell="C37" sqref="C37"/>
    </sheetView>
  </sheetViews>
  <sheetFormatPr defaultColWidth="11" defaultRowHeight="13.5" x14ac:dyDescent="0.3"/>
  <cols>
    <col min="1" max="1" width="26.4609375" customWidth="1"/>
    <col min="2" max="2" width="24.23046875" customWidth="1"/>
    <col min="3" max="3" width="24.84375" bestFit="1" customWidth="1"/>
    <col min="4" max="4" width="12.61328125" customWidth="1"/>
    <col min="5" max="5" width="39.23046875" customWidth="1"/>
    <col min="6" max="6" width="8.4609375" bestFit="1" customWidth="1"/>
    <col min="7" max="8" width="7" bestFit="1" customWidth="1"/>
    <col min="9" max="9" width="13" bestFit="1" customWidth="1"/>
    <col min="10" max="10" width="11.84375" bestFit="1" customWidth="1"/>
    <col min="11" max="13" width="13" bestFit="1" customWidth="1"/>
    <col min="14" max="17" width="10.4609375" bestFit="1" customWidth="1"/>
    <col min="18" max="18" width="9.61328125" bestFit="1" customWidth="1"/>
    <col min="19" max="26" width="10.4609375" bestFit="1" customWidth="1"/>
  </cols>
  <sheetData>
    <row r="1" spans="1:28" s="1" customFormat="1" ht="11.5" x14ac:dyDescent="0.25">
      <c r="F1" s="1">
        <v>2010</v>
      </c>
      <c r="G1" s="1">
        <v>2011</v>
      </c>
      <c r="H1" s="1">
        <v>2012</v>
      </c>
      <c r="I1" s="1">
        <v>2013</v>
      </c>
      <c r="J1" s="1">
        <v>2014</v>
      </c>
      <c r="K1" s="1">
        <v>2015</v>
      </c>
      <c r="L1" s="1">
        <v>2016</v>
      </c>
      <c r="M1" s="1">
        <v>2017</v>
      </c>
      <c r="N1" s="1">
        <v>2018</v>
      </c>
      <c r="O1" s="1">
        <v>2019</v>
      </c>
      <c r="P1" s="1">
        <v>2020</v>
      </c>
      <c r="Q1" s="133">
        <v>2021</v>
      </c>
      <c r="R1" s="133">
        <v>2022</v>
      </c>
      <c r="S1" s="133">
        <v>2023</v>
      </c>
      <c r="T1" s="133">
        <v>2024</v>
      </c>
      <c r="U1" s="133">
        <v>2025</v>
      </c>
      <c r="V1" s="133">
        <v>2026</v>
      </c>
      <c r="W1" s="133">
        <v>2027</v>
      </c>
      <c r="X1" s="133">
        <v>2028</v>
      </c>
      <c r="Y1" s="133">
        <v>2029</v>
      </c>
      <c r="Z1" s="133">
        <v>2030</v>
      </c>
    </row>
    <row r="2" spans="1:28" x14ac:dyDescent="0.3">
      <c r="A2" s="38"/>
      <c r="B2" s="38"/>
      <c r="C2" s="38"/>
      <c r="D2" s="38"/>
      <c r="E2" s="38"/>
      <c r="F2" s="50" t="s">
        <v>102</v>
      </c>
      <c r="G2" s="2"/>
      <c r="H2" s="2"/>
    </row>
    <row r="3" spans="1:28" ht="21" customHeight="1" x14ac:dyDescent="0.35">
      <c r="A3" s="38"/>
      <c r="B3" s="38"/>
      <c r="C3" s="50" t="s">
        <v>95</v>
      </c>
      <c r="D3" s="38"/>
      <c r="E3" s="137" t="s">
        <v>235</v>
      </c>
      <c r="F3" s="200">
        <f>Traffic!B33</f>
        <v>1402.88</v>
      </c>
      <c r="G3" s="200">
        <f>Traffic!C33</f>
        <v>1843.2</v>
      </c>
      <c r="H3" s="200">
        <f>Traffic!D33</f>
        <v>2662.4</v>
      </c>
      <c r="I3" s="200">
        <f>Traffic!E33</f>
        <v>3174.4</v>
      </c>
      <c r="J3" s="200">
        <f>Traffic!F33</f>
        <v>3904.5120000000002</v>
      </c>
      <c r="K3" s="200">
        <f>Traffic!G33</f>
        <v>4802.5497599999999</v>
      </c>
      <c r="L3" s="200">
        <f>Traffic!H33</f>
        <v>5907.1362048000001</v>
      </c>
      <c r="M3" s="200">
        <f>Traffic!I33</f>
        <v>7265.7775319039993</v>
      </c>
      <c r="N3" s="200">
        <f>Traffic!J33</f>
        <v>8936.9063642419205</v>
      </c>
      <c r="O3" s="200">
        <f>Traffic!K33</f>
        <v>10992.394828017563</v>
      </c>
      <c r="P3" s="200">
        <f>Traffic!L33</f>
        <v>13520.645638461601</v>
      </c>
      <c r="Q3" s="200">
        <f>Traffic!M33</f>
        <v>16630.394135307768</v>
      </c>
      <c r="R3" s="200">
        <f>Traffic!N33</f>
        <v>20455.384786428553</v>
      </c>
      <c r="S3" s="200">
        <f>Traffic!O33</f>
        <v>25160.12328730712</v>
      </c>
      <c r="T3" s="200">
        <f>Traffic!P33</f>
        <v>30946.951643387758</v>
      </c>
      <c r="U3" s="200">
        <f>Traffic!Q33</f>
        <v>38064.750521366943</v>
      </c>
      <c r="V3" s="200">
        <f>Traffic!R33</f>
        <v>46819.64314128134</v>
      </c>
      <c r="W3" s="200">
        <f>Traffic!S33</f>
        <v>57588.161063776046</v>
      </c>
      <c r="X3" s="200">
        <f>Traffic!T33</f>
        <v>70833.438108444534</v>
      </c>
      <c r="Y3" s="200">
        <f>Traffic!U33</f>
        <v>87125.12887338677</v>
      </c>
      <c r="Z3" s="200">
        <f>Traffic!V33</f>
        <v>107163.90851426573</v>
      </c>
      <c r="AA3" s="350" t="s">
        <v>143</v>
      </c>
    </row>
    <row r="4" spans="1:28" ht="14.5" x14ac:dyDescent="0.35">
      <c r="A4" s="51"/>
      <c r="B4" s="51"/>
      <c r="C4" s="96" t="s">
        <v>73</v>
      </c>
      <c r="D4" s="50"/>
      <c r="E4" s="141" t="s">
        <v>236</v>
      </c>
      <c r="F4" s="201">
        <f>Traffic!B34</f>
        <v>1402.88</v>
      </c>
      <c r="G4" s="201">
        <f>Traffic!C34</f>
        <v>1843.2</v>
      </c>
      <c r="H4" s="201">
        <f>Traffic!D34</f>
        <v>2662.4</v>
      </c>
      <c r="I4" s="201">
        <f>Traffic!E34</f>
        <v>3174.4000000000005</v>
      </c>
      <c r="J4" s="201">
        <f>Traffic!F34</f>
        <v>4126.72</v>
      </c>
      <c r="K4" s="201">
        <f>Traffic!G34</f>
        <v>5364.7360000000008</v>
      </c>
      <c r="L4" s="201">
        <f>Traffic!H34</f>
        <v>6974.1568000000025</v>
      </c>
      <c r="M4" s="201">
        <f>Traffic!I34</f>
        <v>9066.4038400000027</v>
      </c>
      <c r="N4" s="201">
        <f>Traffic!J34</f>
        <v>11786.324992000003</v>
      </c>
      <c r="O4" s="201">
        <f>Traffic!K34</f>
        <v>15322.222489600004</v>
      </c>
      <c r="P4" s="201">
        <f>Traffic!L34</f>
        <v>19918.889236480005</v>
      </c>
      <c r="Q4" s="201">
        <f>Traffic!M34</f>
        <v>25894.556007424006</v>
      </c>
      <c r="R4" s="201">
        <f>Traffic!N34</f>
        <v>33662.922809651209</v>
      </c>
      <c r="S4" s="201">
        <f>Traffic!O34</f>
        <v>43761.799652546571</v>
      </c>
      <c r="T4" s="201">
        <f>Traffic!P34</f>
        <v>56890.339548310541</v>
      </c>
      <c r="U4" s="201">
        <f>Traffic!Q34</f>
        <v>73957.441412803702</v>
      </c>
      <c r="V4" s="201">
        <f>Traffic!R34</f>
        <v>96144.673836644812</v>
      </c>
      <c r="W4" s="201">
        <f>Traffic!S34</f>
        <v>124988.07598763827</v>
      </c>
      <c r="X4" s="201">
        <f>Traffic!T34</f>
        <v>162484.49878392974</v>
      </c>
      <c r="Y4" s="201">
        <f>Traffic!U34</f>
        <v>211229.84841910866</v>
      </c>
      <c r="Z4" s="201">
        <f>Traffic!V34</f>
        <v>274598.80294484127</v>
      </c>
      <c r="AA4" s="350"/>
    </row>
    <row r="5" spans="1:28" ht="32" customHeight="1" x14ac:dyDescent="0.35">
      <c r="A5" s="51"/>
      <c r="B5" s="51"/>
      <c r="C5" s="96"/>
      <c r="D5" s="50"/>
      <c r="E5" s="140" t="s">
        <v>237</v>
      </c>
      <c r="F5" s="203">
        <f>Traffic!B35</f>
        <v>1402.88</v>
      </c>
      <c r="G5" s="203">
        <f>Traffic!C35</f>
        <v>1843.2</v>
      </c>
      <c r="H5" s="203">
        <f>Traffic!D35</f>
        <v>2662.4</v>
      </c>
      <c r="I5" s="203">
        <f>Traffic!E35</f>
        <v>3187.1000000000004</v>
      </c>
      <c r="J5" s="203">
        <f>Traffic!F35</f>
        <v>4159.4030000000002</v>
      </c>
      <c r="K5" s="203">
        <f>Traffic!G35</f>
        <v>5428.0303700000013</v>
      </c>
      <c r="L5" s="203">
        <f>Traffic!H35</f>
        <v>7067.6897375000026</v>
      </c>
      <c r="M5" s="203">
        <f>Traffic!I35</f>
        <v>9223.6569681250039</v>
      </c>
      <c r="N5" s="203">
        <f>Traffic!J35</f>
        <v>12037.673626843753</v>
      </c>
      <c r="O5" s="203">
        <f>Traffic!K35</f>
        <v>15711.065893295316</v>
      </c>
      <c r="P5" s="203">
        <f>Traffic!L35</f>
        <v>20506.943909843365</v>
      </c>
      <c r="Q5" s="203">
        <f>Traffic!M35</f>
        <v>26809.355695076232</v>
      </c>
      <c r="R5" s="203">
        <f>Traffic!N35</f>
        <v>35095.260174367198</v>
      </c>
      <c r="S5" s="203">
        <f>Traffic!O35</f>
        <v>45991.423901588714</v>
      </c>
      <c r="T5" s="203">
        <f>Traffic!P35</f>
        <v>60350.323926015488</v>
      </c>
      <c r="U5" s="203">
        <f>Traffic!Q35</f>
        <v>79321.417833273401</v>
      </c>
      <c r="V5" s="203">
        <f>Traffic!R35</f>
        <v>104315.19859513368</v>
      </c>
      <c r="W5" s="203">
        <f>Traffic!S35</f>
        <v>137623.03696036953</v>
      </c>
      <c r="X5" s="203">
        <f>Traffic!T35</f>
        <v>182194.40249314671</v>
      </c>
      <c r="Y5" s="203">
        <f>Traffic!U35</f>
        <v>242143.25920918939</v>
      </c>
      <c r="Z5" s="203">
        <f>Traffic!V35</f>
        <v>323269.9373348892</v>
      </c>
      <c r="AA5" s="350"/>
    </row>
    <row r="6" spans="1:28" x14ac:dyDescent="0.3">
      <c r="A6" s="51"/>
      <c r="B6" s="51"/>
      <c r="C6" s="96"/>
      <c r="D6" s="50"/>
      <c r="E6" s="99" t="s">
        <v>162</v>
      </c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185"/>
      <c r="AB6" s="38" t="s">
        <v>264</v>
      </c>
    </row>
    <row r="7" spans="1:28" ht="14.5" x14ac:dyDescent="0.35">
      <c r="A7" s="51"/>
      <c r="B7" s="51"/>
      <c r="C7" s="96" t="s">
        <v>51</v>
      </c>
      <c r="D7" s="191">
        <v>0.13500000000000001</v>
      </c>
      <c r="E7" s="317">
        <v>0.2</v>
      </c>
      <c r="F7" s="200">
        <f>$D7*F$3</f>
        <v>189.38880000000003</v>
      </c>
      <c r="G7" s="200">
        <f>(G3/F3)*F7*(1-$E$7)</f>
        <v>199.06560000000002</v>
      </c>
      <c r="H7" s="200">
        <f t="shared" ref="H7:O7" si="0">(H3/G3)*G7*(1-$E$7)</f>
        <v>230.03136000000001</v>
      </c>
      <c r="I7" s="200">
        <f t="shared" si="0"/>
        <v>219.41452800000002</v>
      </c>
      <c r="J7" s="200">
        <f t="shared" si="0"/>
        <v>215.90389555199999</v>
      </c>
      <c r="K7" s="200">
        <f t="shared" si="0"/>
        <v>212.449433223168</v>
      </c>
      <c r="L7" s="200">
        <f t="shared" si="0"/>
        <v>209.05024229159733</v>
      </c>
      <c r="M7" s="200">
        <f t="shared" si="0"/>
        <v>205.70543841493173</v>
      </c>
      <c r="N7" s="200">
        <f t="shared" si="0"/>
        <v>202.41415140029287</v>
      </c>
      <c r="O7" s="200">
        <f t="shared" si="0"/>
        <v>199.17552497788819</v>
      </c>
      <c r="P7" s="200">
        <f>(P3/O3)*O7*(1-$E$7)</f>
        <v>195.98871657824199</v>
      </c>
      <c r="Q7" s="200">
        <f>(Q3/P3)*P7*(1-$E$7)</f>
        <v>192.85289711299015</v>
      </c>
      <c r="R7" s="200">
        <f>(R3/Q3)*Q7*R12</f>
        <v>192.13934139367208</v>
      </c>
      <c r="S7" s="200">
        <f t="shared" ref="S7:Y7" si="1">(S3/R3)*R7*S12</f>
        <v>193.79173972965765</v>
      </c>
      <c r="T7" s="200">
        <f t="shared" si="1"/>
        <v>197.84198709000748</v>
      </c>
      <c r="U7" s="200">
        <f t="shared" si="1"/>
        <v>204.41034106139571</v>
      </c>
      <c r="V7" s="200">
        <f t="shared" si="1"/>
        <v>221.25375316485471</v>
      </c>
      <c r="W7" s="200">
        <f t="shared" si="1"/>
        <v>244.92790475349418</v>
      </c>
      <c r="X7" s="200">
        <f t="shared" si="1"/>
        <v>274.14780379058607</v>
      </c>
      <c r="Y7" s="200">
        <f t="shared" si="1"/>
        <v>313.5976727560514</v>
      </c>
      <c r="Z7" s="200">
        <f>(Z3/Y3)*Y7*Z12</f>
        <v>366.43888061544607</v>
      </c>
      <c r="AA7" s="351" t="s">
        <v>101</v>
      </c>
      <c r="AB7" s="299">
        <f>K7/Z3</f>
        <v>1.9824718617358623E-3</v>
      </c>
    </row>
    <row r="8" spans="1:28" ht="54.5" x14ac:dyDescent="0.35">
      <c r="A8" s="99" t="s">
        <v>259</v>
      </c>
      <c r="B8" s="50" t="s">
        <v>258</v>
      </c>
      <c r="C8" s="96" t="s">
        <v>51</v>
      </c>
      <c r="D8" s="193">
        <v>0.14000000000000001</v>
      </c>
      <c r="E8" s="318">
        <v>0.2</v>
      </c>
      <c r="F8" s="201">
        <f>$D8*F$4</f>
        <v>196.40320000000003</v>
      </c>
      <c r="G8" s="201">
        <f>(G4/F4)*F8*(1-$E$8)</f>
        <v>206.4384</v>
      </c>
      <c r="H8" s="201">
        <f t="shared" ref="H8:O8" si="2">(H4/G4)*G8*(1-$E$8)</f>
        <v>238.55104000000003</v>
      </c>
      <c r="I8" s="201">
        <f t="shared" si="2"/>
        <v>227.54099200000007</v>
      </c>
      <c r="J8" s="201">
        <f t="shared" si="2"/>
        <v>236.64263168000002</v>
      </c>
      <c r="K8" s="201">
        <f t="shared" si="2"/>
        <v>246.10833694720006</v>
      </c>
      <c r="L8" s="201">
        <f t="shared" si="2"/>
        <v>255.95267042508814</v>
      </c>
      <c r="M8" s="201">
        <f t="shared" si="2"/>
        <v>266.19077724209166</v>
      </c>
      <c r="N8" s="201">
        <f t="shared" si="2"/>
        <v>276.83840833177533</v>
      </c>
      <c r="O8" s="201">
        <f t="shared" si="2"/>
        <v>287.91194466504635</v>
      </c>
      <c r="P8" s="201">
        <f>(P4/O4)*O8*(1-$E$8)</f>
        <v>299.4284224516482</v>
      </c>
      <c r="Q8" s="201">
        <f>(Q4/P4)*P8*(1-$E$8)</f>
        <v>311.40555934971417</v>
      </c>
      <c r="R8" s="201">
        <f>(R4/Q4)*Q8*R12</f>
        <v>327.91005399524903</v>
      </c>
      <c r="S8" s="201">
        <f t="shared" ref="S8:Y8" si="3">(S4/R4)*R8*S12</f>
        <v>349.55211755893544</v>
      </c>
      <c r="T8" s="201">
        <f t="shared" si="3"/>
        <v>377.16673484609134</v>
      </c>
      <c r="U8" s="201">
        <f t="shared" si="3"/>
        <v>411.86607445193175</v>
      </c>
      <c r="V8" s="201">
        <f t="shared" si="3"/>
        <v>471.17478917300997</v>
      </c>
      <c r="W8" s="201">
        <f t="shared" si="3"/>
        <v>551.27450333242166</v>
      </c>
      <c r="X8" s="201">
        <f t="shared" si="3"/>
        <v>652.15773744225487</v>
      </c>
      <c r="Y8" s="201">
        <f t="shared" si="3"/>
        <v>788.45870456768625</v>
      </c>
      <c r="Z8" s="201">
        <f>(Z4/Y4)*Y8*Z12</f>
        <v>973.74650014109261</v>
      </c>
      <c r="AA8" s="351"/>
    </row>
    <row r="9" spans="1:28" ht="14.5" x14ac:dyDescent="0.35">
      <c r="A9" s="97"/>
      <c r="B9" s="97"/>
      <c r="C9" s="96" t="s">
        <v>51</v>
      </c>
      <c r="D9" s="195">
        <v>0.14199999999999999</v>
      </c>
      <c r="E9" s="196">
        <v>0.05</v>
      </c>
      <c r="F9" s="202">
        <f>$D9*F$5</f>
        <v>199.20895999999999</v>
      </c>
      <c r="G9" s="202">
        <f>(G5/F5)*F9*(1-E9)</f>
        <v>248.64767999999998</v>
      </c>
      <c r="H9" s="202">
        <f>(H5/G5)*G9*(1-E9)</f>
        <v>341.19987199999991</v>
      </c>
      <c r="I9" s="202">
        <f>(H9/H$5)*I$5*(1-$E$9)</f>
        <v>388.02066047499989</v>
      </c>
      <c r="J9" s="202">
        <f>(I9/I$5)*J$5*(1-$E$9)</f>
        <v>481.07608304716229</v>
      </c>
      <c r="K9" s="202">
        <f>(J9/J$5)*K$5*(1-$E$9)</f>
        <v>596.41511284374405</v>
      </c>
      <c r="L9" s="202">
        <f t="shared" ref="L9:Y9" si="4">(K9/K$5)*L$5*(1-$E$9)</f>
        <v>737.7470004315494</v>
      </c>
      <c r="M9" s="202">
        <f t="shared" si="4"/>
        <v>914.65376074476967</v>
      </c>
      <c r="N9" s="202">
        <f t="shared" si="4"/>
        <v>1134.0174853517465</v>
      </c>
      <c r="O9" s="202">
        <f t="shared" si="4"/>
        <v>1406.0683807659209</v>
      </c>
      <c r="P9" s="202">
        <f>(O9/O$5)*P$5*(1-$E$9)</f>
        <v>1743.5136058192068</v>
      </c>
      <c r="Q9" s="202">
        <f t="shared" si="4"/>
        <v>2165.3812870389143</v>
      </c>
      <c r="R9" s="202">
        <f t="shared" si="4"/>
        <v>2692.8990567397022</v>
      </c>
      <c r="S9" s="202">
        <f t="shared" si="4"/>
        <v>3352.5253369257948</v>
      </c>
      <c r="T9" s="202">
        <f t="shared" si="4"/>
        <v>4179.2507003533765</v>
      </c>
      <c r="U9" s="202">
        <f t="shared" si="4"/>
        <v>5218.3462489310068</v>
      </c>
      <c r="V9" s="202">
        <f t="shared" si="4"/>
        <v>6519.4899203341365</v>
      </c>
      <c r="W9" s="202">
        <f t="shared" si="4"/>
        <v>8171.1046293806266</v>
      </c>
      <c r="X9" s="202">
        <f t="shared" si="4"/>
        <v>10276.572008676892</v>
      </c>
      <c r="Y9" s="202">
        <f t="shared" si="4"/>
        <v>12975.055629296421</v>
      </c>
      <c r="Z9" s="202">
        <f>(Y9/Y$5)*Z$5*(1-$E$9)</f>
        <v>16456.056477487797</v>
      </c>
      <c r="AA9" s="351"/>
    </row>
    <row r="10" spans="1:28" s="146" customFormat="1" x14ac:dyDescent="0.3">
      <c r="A10" s="186"/>
      <c r="B10" s="186"/>
      <c r="C10" s="187"/>
      <c r="D10" s="83"/>
      <c r="E10" s="188" t="s">
        <v>225</v>
      </c>
      <c r="F10" s="189"/>
      <c r="G10" s="190"/>
      <c r="H10" s="190"/>
    </row>
    <row r="11" spans="1:28" s="146" customFormat="1" x14ac:dyDescent="0.3">
      <c r="A11" s="186"/>
      <c r="B11" s="186"/>
      <c r="C11" s="187"/>
      <c r="D11" s="83"/>
      <c r="E11" s="188"/>
      <c r="F11" s="189"/>
      <c r="G11" s="190"/>
      <c r="H11" s="190"/>
      <c r="R11" s="319">
        <v>0.8</v>
      </c>
      <c r="S11" s="319">
        <v>0.8</v>
      </c>
      <c r="T11" s="319">
        <v>0.8</v>
      </c>
      <c r="U11" s="319">
        <v>0.8</v>
      </c>
      <c r="V11" s="319">
        <v>0.8</v>
      </c>
      <c r="W11" s="319">
        <v>0.8</v>
      </c>
      <c r="X11" s="319">
        <v>0.8</v>
      </c>
      <c r="Y11" s="319">
        <v>0.8</v>
      </c>
      <c r="Z11" s="319">
        <v>0.8</v>
      </c>
      <c r="AA11" s="341" t="s">
        <v>337</v>
      </c>
    </row>
    <row r="12" spans="1:28" s="146" customFormat="1" x14ac:dyDescent="0.3">
      <c r="A12" s="186"/>
      <c r="D12" s="83"/>
      <c r="E12" s="188"/>
      <c r="F12" s="189"/>
      <c r="G12" s="190"/>
      <c r="H12" s="190"/>
      <c r="R12" s="319">
        <v>0.81</v>
      </c>
      <c r="S12" s="319">
        <v>0.82</v>
      </c>
      <c r="T12" s="319">
        <v>0.83</v>
      </c>
      <c r="U12" s="319">
        <v>0.84</v>
      </c>
      <c r="V12" s="319">
        <v>0.88</v>
      </c>
      <c r="W12" s="319">
        <v>0.9</v>
      </c>
      <c r="X12" s="319">
        <v>0.91</v>
      </c>
      <c r="Y12" s="319">
        <v>0.93</v>
      </c>
      <c r="Z12" s="319">
        <v>0.95</v>
      </c>
      <c r="AA12" s="341" t="s">
        <v>341</v>
      </c>
    </row>
    <row r="13" spans="1:28" s="146" customFormat="1" x14ac:dyDescent="0.3">
      <c r="A13" s="186"/>
      <c r="B13" s="186"/>
      <c r="C13" s="187"/>
      <c r="D13" s="83"/>
      <c r="E13" s="188"/>
      <c r="F13" s="189"/>
      <c r="G13" s="190"/>
      <c r="H13" s="190"/>
    </row>
    <row r="14" spans="1:28" x14ac:dyDescent="0.3">
      <c r="A14" s="97"/>
      <c r="B14" s="97"/>
      <c r="C14" s="56" t="s">
        <v>239</v>
      </c>
      <c r="F14" s="299">
        <f t="shared" ref="F14:Y14" si="5">F7/F3</f>
        <v>0.13500000000000001</v>
      </c>
      <c r="G14" s="299">
        <f t="shared" si="5"/>
        <v>0.10800000000000001</v>
      </c>
      <c r="H14" s="299">
        <f t="shared" si="5"/>
        <v>8.6400000000000005E-2</v>
      </c>
      <c r="I14" s="299">
        <f t="shared" si="5"/>
        <v>6.9120000000000001E-2</v>
      </c>
      <c r="J14" s="299">
        <f t="shared" si="5"/>
        <v>5.5295999999999998E-2</v>
      </c>
      <c r="K14" s="299">
        <f t="shared" si="5"/>
        <v>4.42368E-2</v>
      </c>
      <c r="L14" s="299">
        <f t="shared" si="5"/>
        <v>3.5389440000000001E-2</v>
      </c>
      <c r="M14" s="299">
        <f t="shared" si="5"/>
        <v>2.8311552E-2</v>
      </c>
      <c r="N14" s="299">
        <f t="shared" si="5"/>
        <v>2.2649241600000002E-2</v>
      </c>
      <c r="O14" s="299">
        <f t="shared" si="5"/>
        <v>1.811939328E-2</v>
      </c>
      <c r="P14" s="299">
        <f t="shared" si="5"/>
        <v>1.4495514624000002E-2</v>
      </c>
      <c r="Q14" s="299">
        <f t="shared" si="5"/>
        <v>1.1596411699200004E-2</v>
      </c>
      <c r="R14" s="299">
        <f t="shared" si="5"/>
        <v>9.3930934763520046E-3</v>
      </c>
      <c r="S14" s="299">
        <f t="shared" si="5"/>
        <v>7.7023366506086431E-3</v>
      </c>
      <c r="T14" s="299">
        <f t="shared" si="5"/>
        <v>6.3929394200051733E-3</v>
      </c>
      <c r="U14" s="299">
        <f t="shared" si="5"/>
        <v>5.3700691128043447E-3</v>
      </c>
      <c r="V14" s="299">
        <f t="shared" si="5"/>
        <v>4.7256608192678233E-3</v>
      </c>
      <c r="W14" s="299">
        <f t="shared" si="5"/>
        <v>4.2530947373410413E-3</v>
      </c>
      <c r="X14" s="299">
        <f t="shared" si="5"/>
        <v>3.8703162109803486E-3</v>
      </c>
      <c r="Y14" s="299">
        <f t="shared" si="5"/>
        <v>3.5993940762117241E-3</v>
      </c>
      <c r="Z14" s="299">
        <f>Z7/Z3</f>
        <v>3.419424372401138E-3</v>
      </c>
      <c r="AB14" s="305">
        <f>K14/Z14</f>
        <v>12.936914282135938</v>
      </c>
    </row>
    <row r="15" spans="1:28" x14ac:dyDescent="0.3">
      <c r="A15" s="4"/>
      <c r="B15" s="4"/>
      <c r="C15" s="56" t="s">
        <v>263</v>
      </c>
      <c r="F15" s="299">
        <f t="shared" ref="F15:Z15" si="6">F8/F4</f>
        <v>0.14000000000000001</v>
      </c>
      <c r="G15" s="299">
        <f t="shared" si="6"/>
        <v>0.112</v>
      </c>
      <c r="H15" s="299">
        <f t="shared" si="6"/>
        <v>8.9600000000000013E-2</v>
      </c>
      <c r="I15" s="299">
        <f t="shared" si="6"/>
        <v>7.1680000000000008E-2</v>
      </c>
      <c r="J15" s="299">
        <f t="shared" si="6"/>
        <v>5.7343999999999999E-2</v>
      </c>
      <c r="K15" s="299">
        <f t="shared" si="6"/>
        <v>4.5875200000000005E-2</v>
      </c>
      <c r="L15" s="299">
        <f t="shared" si="6"/>
        <v>3.6700160000000009E-2</v>
      </c>
      <c r="M15" s="299">
        <f t="shared" si="6"/>
        <v>2.9360128000000006E-2</v>
      </c>
      <c r="N15" s="299">
        <f t="shared" si="6"/>
        <v>2.3488102400000006E-2</v>
      </c>
      <c r="O15" s="299">
        <f t="shared" si="6"/>
        <v>1.8790481920000005E-2</v>
      </c>
      <c r="P15" s="299">
        <f t="shared" si="6"/>
        <v>1.5032385536000005E-2</v>
      </c>
      <c r="Q15" s="299">
        <f t="shared" si="6"/>
        <v>1.2025908428800006E-2</v>
      </c>
      <c r="R15" s="299">
        <f t="shared" si="6"/>
        <v>9.7409858273280036E-3</v>
      </c>
      <c r="S15" s="299">
        <f t="shared" si="6"/>
        <v>7.9876083784089624E-3</v>
      </c>
      <c r="T15" s="299">
        <f t="shared" si="6"/>
        <v>6.6297149540794397E-3</v>
      </c>
      <c r="U15" s="299">
        <f t="shared" si="6"/>
        <v>5.5689605614267293E-3</v>
      </c>
      <c r="V15" s="299">
        <f t="shared" si="6"/>
        <v>4.9006852940555222E-3</v>
      </c>
      <c r="W15" s="299">
        <f t="shared" si="6"/>
        <v>4.4106167646499701E-3</v>
      </c>
      <c r="X15" s="299">
        <f t="shared" si="6"/>
        <v>4.0136612558314732E-3</v>
      </c>
      <c r="Y15" s="299">
        <f t="shared" si="6"/>
        <v>3.7327049679232705E-3</v>
      </c>
      <c r="Z15" s="299">
        <f t="shared" si="6"/>
        <v>3.546069719527107E-3</v>
      </c>
      <c r="AB15" s="305">
        <f>K14/AB7</f>
        <v>22.313961097670276</v>
      </c>
    </row>
    <row r="16" spans="1:28" x14ac:dyDescent="0.3">
      <c r="A16" s="4"/>
      <c r="B16" s="4"/>
      <c r="C16" s="2"/>
      <c r="F16" s="299">
        <f t="shared" ref="F16:Z16" si="7">F9/F5</f>
        <v>0.14199999999999999</v>
      </c>
      <c r="G16" s="299">
        <f t="shared" si="7"/>
        <v>0.13489999999999999</v>
      </c>
      <c r="H16" s="299">
        <f t="shared" si="7"/>
        <v>0.12815499999999996</v>
      </c>
      <c r="I16" s="299">
        <f t="shared" si="7"/>
        <v>0.12174724999999995</v>
      </c>
      <c r="J16" s="299">
        <f t="shared" si="7"/>
        <v>0.11565988749999995</v>
      </c>
      <c r="K16" s="299">
        <f t="shared" si="7"/>
        <v>0.10987689312499994</v>
      </c>
      <c r="L16" s="299">
        <f t="shared" si="7"/>
        <v>0.10438304846874995</v>
      </c>
      <c r="M16" s="299">
        <f t="shared" si="7"/>
        <v>9.916389604531245E-2</v>
      </c>
      <c r="N16" s="299">
        <f t="shared" si="7"/>
        <v>9.4205701243046822E-2</v>
      </c>
      <c r="O16" s="299">
        <f t="shared" si="7"/>
        <v>8.9495416180894474E-2</v>
      </c>
      <c r="P16" s="299">
        <f t="shared" si="7"/>
        <v>8.5020645371849751E-2</v>
      </c>
      <c r="Q16" s="299">
        <f t="shared" si="7"/>
        <v>8.0769613103257268E-2</v>
      </c>
      <c r="R16" s="299">
        <f t="shared" si="7"/>
        <v>7.6731132448094402E-2</v>
      </c>
      <c r="S16" s="299">
        <f t="shared" si="7"/>
        <v>7.2894575825689673E-2</v>
      </c>
      <c r="T16" s="299">
        <f t="shared" si="7"/>
        <v>6.924984703440519E-2</v>
      </c>
      <c r="U16" s="299">
        <f t="shared" si="7"/>
        <v>6.5787354682684929E-2</v>
      </c>
      <c r="V16" s="299">
        <f t="shared" si="7"/>
        <v>6.2497986948550674E-2</v>
      </c>
      <c r="W16" s="299">
        <f t="shared" si="7"/>
        <v>5.9373087601123135E-2</v>
      </c>
      <c r="X16" s="299">
        <f t="shared" si="7"/>
        <v>5.6404433221066974E-2</v>
      </c>
      <c r="Y16" s="299">
        <f t="shared" si="7"/>
        <v>5.3584211560013625E-2</v>
      </c>
      <c r="Z16" s="299">
        <f t="shared" si="7"/>
        <v>5.0905000982012942E-2</v>
      </c>
    </row>
    <row r="17" spans="1:24" x14ac:dyDescent="0.3">
      <c r="A17" s="4"/>
      <c r="B17" s="4"/>
      <c r="C17" s="2"/>
      <c r="D17" s="2"/>
      <c r="E17" s="2"/>
      <c r="F17" s="2"/>
      <c r="G17" s="2"/>
      <c r="H17" s="2"/>
    </row>
    <row r="18" spans="1:24" x14ac:dyDescent="0.3">
      <c r="A18" s="4"/>
      <c r="B18" s="4"/>
      <c r="C18" s="2"/>
      <c r="D18" s="1">
        <v>2010</v>
      </c>
      <c r="E18" s="1">
        <v>2011</v>
      </c>
      <c r="F18" s="1">
        <v>2012</v>
      </c>
      <c r="G18" s="1">
        <v>2013</v>
      </c>
      <c r="H18" s="1">
        <v>2014</v>
      </c>
      <c r="I18" s="1">
        <v>2015</v>
      </c>
      <c r="J18" s="1">
        <v>2016</v>
      </c>
      <c r="K18" s="1">
        <v>2017</v>
      </c>
      <c r="L18" s="1">
        <v>2018</v>
      </c>
      <c r="M18" s="1">
        <v>2019</v>
      </c>
      <c r="N18" s="1">
        <v>2020</v>
      </c>
      <c r="O18" s="133">
        <v>2021</v>
      </c>
      <c r="P18" s="133">
        <v>2022</v>
      </c>
      <c r="Q18" s="133">
        <v>2023</v>
      </c>
      <c r="R18" s="133">
        <v>2024</v>
      </c>
      <c r="S18" s="133">
        <v>2025</v>
      </c>
      <c r="T18" s="133">
        <v>2026</v>
      </c>
      <c r="U18" s="133">
        <v>2027</v>
      </c>
      <c r="V18" s="133">
        <v>2028</v>
      </c>
      <c r="W18" s="133">
        <v>2029</v>
      </c>
      <c r="X18" s="133">
        <v>2030</v>
      </c>
    </row>
    <row r="19" spans="1:24" x14ac:dyDescent="0.3">
      <c r="A19" s="4"/>
      <c r="B19" s="4"/>
      <c r="C19" s="2" t="s">
        <v>170</v>
      </c>
      <c r="D19" s="297">
        <f>F7</f>
        <v>189.38880000000003</v>
      </c>
      <c r="E19" s="297">
        <f t="shared" ref="E19:X21" si="8">G7</f>
        <v>199.06560000000002</v>
      </c>
      <c r="F19" s="297">
        <f t="shared" si="8"/>
        <v>230.03136000000001</v>
      </c>
      <c r="G19" s="297">
        <f t="shared" si="8"/>
        <v>219.41452800000002</v>
      </c>
      <c r="H19" s="297">
        <f t="shared" si="8"/>
        <v>215.90389555199999</v>
      </c>
      <c r="I19" s="297">
        <f t="shared" si="8"/>
        <v>212.449433223168</v>
      </c>
      <c r="J19" s="297">
        <f t="shared" si="8"/>
        <v>209.05024229159733</v>
      </c>
      <c r="K19" s="297">
        <f t="shared" si="8"/>
        <v>205.70543841493173</v>
      </c>
      <c r="L19" s="297">
        <f t="shared" si="8"/>
        <v>202.41415140029287</v>
      </c>
      <c r="M19" s="297">
        <f t="shared" si="8"/>
        <v>199.17552497788819</v>
      </c>
      <c r="N19" s="297">
        <f t="shared" si="8"/>
        <v>195.98871657824199</v>
      </c>
      <c r="O19" s="297">
        <f t="shared" si="8"/>
        <v>192.85289711299015</v>
      </c>
      <c r="P19" s="297">
        <f t="shared" si="8"/>
        <v>192.13934139367208</v>
      </c>
      <c r="Q19" s="297">
        <f t="shared" si="8"/>
        <v>193.79173972965765</v>
      </c>
      <c r="R19" s="297">
        <f t="shared" si="8"/>
        <v>197.84198709000748</v>
      </c>
      <c r="S19" s="297">
        <f t="shared" si="8"/>
        <v>204.41034106139571</v>
      </c>
      <c r="T19" s="297">
        <f t="shared" si="8"/>
        <v>221.25375316485471</v>
      </c>
      <c r="U19" s="297">
        <f t="shared" si="8"/>
        <v>244.92790475349418</v>
      </c>
      <c r="V19" s="297">
        <f t="shared" si="8"/>
        <v>274.14780379058607</v>
      </c>
      <c r="W19" s="297">
        <f t="shared" si="8"/>
        <v>313.5976727560514</v>
      </c>
      <c r="X19" s="297">
        <f t="shared" si="8"/>
        <v>366.43888061544607</v>
      </c>
    </row>
    <row r="20" spans="1:24" x14ac:dyDescent="0.3">
      <c r="A20" s="4"/>
      <c r="B20" s="4"/>
      <c r="C20" s="2" t="s">
        <v>171</v>
      </c>
      <c r="D20" s="297">
        <f>F8</f>
        <v>196.40320000000003</v>
      </c>
      <c r="E20" s="297">
        <f t="shared" si="8"/>
        <v>206.4384</v>
      </c>
      <c r="F20" s="297">
        <f t="shared" si="8"/>
        <v>238.55104000000003</v>
      </c>
      <c r="G20" s="297">
        <f t="shared" si="8"/>
        <v>227.54099200000007</v>
      </c>
      <c r="H20" s="297">
        <f t="shared" si="8"/>
        <v>236.64263168000002</v>
      </c>
      <c r="I20" s="297">
        <f t="shared" si="8"/>
        <v>246.10833694720006</v>
      </c>
      <c r="J20" s="297">
        <f t="shared" si="8"/>
        <v>255.95267042508814</v>
      </c>
      <c r="K20" s="297">
        <f t="shared" si="8"/>
        <v>266.19077724209166</v>
      </c>
      <c r="L20" s="297">
        <f t="shared" si="8"/>
        <v>276.83840833177533</v>
      </c>
      <c r="M20" s="297">
        <f t="shared" si="8"/>
        <v>287.91194466504635</v>
      </c>
      <c r="N20" s="297">
        <f t="shared" si="8"/>
        <v>299.4284224516482</v>
      </c>
      <c r="O20" s="297">
        <f t="shared" si="8"/>
        <v>311.40555934971417</v>
      </c>
      <c r="P20" s="297">
        <f t="shared" si="8"/>
        <v>327.91005399524903</v>
      </c>
      <c r="Q20" s="297">
        <f t="shared" si="8"/>
        <v>349.55211755893544</v>
      </c>
      <c r="R20" s="297">
        <f t="shared" si="8"/>
        <v>377.16673484609134</v>
      </c>
      <c r="S20" s="297">
        <f t="shared" si="8"/>
        <v>411.86607445193175</v>
      </c>
      <c r="T20" s="297">
        <f t="shared" si="8"/>
        <v>471.17478917300997</v>
      </c>
      <c r="U20" s="297">
        <f t="shared" si="8"/>
        <v>551.27450333242166</v>
      </c>
      <c r="V20" s="297">
        <f t="shared" si="8"/>
        <v>652.15773744225487</v>
      </c>
      <c r="W20" s="297">
        <f t="shared" si="8"/>
        <v>788.45870456768625</v>
      </c>
      <c r="X20" s="297">
        <f t="shared" si="8"/>
        <v>973.74650014109261</v>
      </c>
    </row>
    <row r="21" spans="1:24" x14ac:dyDescent="0.3">
      <c r="A21" s="4"/>
      <c r="B21" s="4"/>
      <c r="C21" s="2" t="s">
        <v>172</v>
      </c>
      <c r="D21" s="297">
        <f>F9</f>
        <v>199.20895999999999</v>
      </c>
      <c r="E21" s="297">
        <f t="shared" si="8"/>
        <v>248.64767999999998</v>
      </c>
      <c r="F21" s="297">
        <f t="shared" si="8"/>
        <v>341.19987199999991</v>
      </c>
      <c r="G21" s="297">
        <f t="shared" si="8"/>
        <v>388.02066047499989</v>
      </c>
      <c r="H21" s="297">
        <f t="shared" si="8"/>
        <v>481.07608304716229</v>
      </c>
      <c r="I21" s="297">
        <f t="shared" si="8"/>
        <v>596.41511284374405</v>
      </c>
      <c r="J21" s="297">
        <f t="shared" si="8"/>
        <v>737.7470004315494</v>
      </c>
      <c r="K21" s="297">
        <f t="shared" si="8"/>
        <v>914.65376074476967</v>
      </c>
      <c r="L21" s="297">
        <f t="shared" si="8"/>
        <v>1134.0174853517465</v>
      </c>
      <c r="M21" s="297">
        <f t="shared" si="8"/>
        <v>1406.0683807659209</v>
      </c>
      <c r="N21" s="297">
        <f t="shared" si="8"/>
        <v>1743.5136058192068</v>
      </c>
      <c r="O21" s="297">
        <f t="shared" si="8"/>
        <v>2165.3812870389143</v>
      </c>
      <c r="P21" s="297">
        <f t="shared" si="8"/>
        <v>2692.8990567397022</v>
      </c>
      <c r="Q21" s="297">
        <f t="shared" si="8"/>
        <v>3352.5253369257948</v>
      </c>
      <c r="R21" s="297">
        <f t="shared" si="8"/>
        <v>4179.2507003533765</v>
      </c>
      <c r="S21" s="297">
        <f t="shared" si="8"/>
        <v>5218.3462489310068</v>
      </c>
      <c r="T21" s="297">
        <f t="shared" si="8"/>
        <v>6519.4899203341365</v>
      </c>
      <c r="U21" s="297">
        <f t="shared" si="8"/>
        <v>8171.1046293806266</v>
      </c>
      <c r="V21" s="297">
        <f t="shared" si="8"/>
        <v>10276.572008676892</v>
      </c>
      <c r="W21" s="297">
        <f t="shared" si="8"/>
        <v>12975.055629296421</v>
      </c>
      <c r="X21" s="297">
        <f t="shared" si="8"/>
        <v>16456.056477487797</v>
      </c>
    </row>
    <row r="22" spans="1:24" x14ac:dyDescent="0.3">
      <c r="A22" s="4"/>
      <c r="B22" s="4"/>
      <c r="C22" s="2"/>
      <c r="D22" s="2"/>
      <c r="E22" s="2"/>
      <c r="F22" s="2"/>
      <c r="G22" s="2"/>
      <c r="H22" s="2"/>
    </row>
    <row r="23" spans="1:24" x14ac:dyDescent="0.3">
      <c r="A23" s="4"/>
      <c r="B23" s="4"/>
      <c r="C23" s="2"/>
      <c r="D23" s="2"/>
      <c r="E23" s="2"/>
      <c r="F23" s="2"/>
      <c r="G23" s="2"/>
      <c r="H23" s="2"/>
    </row>
    <row r="24" spans="1:24" x14ac:dyDescent="0.3">
      <c r="A24" s="4"/>
      <c r="B24" s="4"/>
      <c r="C24" s="2"/>
      <c r="D24" s="2"/>
      <c r="E24" s="2"/>
      <c r="F24" s="2"/>
      <c r="G24" s="2"/>
      <c r="H24" s="2"/>
    </row>
    <row r="25" spans="1:24" x14ac:dyDescent="0.3">
      <c r="A25" s="4"/>
      <c r="B25" s="4"/>
      <c r="C25" s="2"/>
      <c r="D25" s="2"/>
      <c r="E25" s="2"/>
      <c r="F25" s="2"/>
      <c r="G25" s="2"/>
      <c r="H25" s="2"/>
    </row>
    <row r="26" spans="1:24" x14ac:dyDescent="0.3">
      <c r="A26" s="4"/>
      <c r="B26" s="4"/>
      <c r="C26" s="2"/>
      <c r="D26" s="2"/>
      <c r="E26" s="2"/>
      <c r="F26" s="2"/>
      <c r="G26" s="2"/>
      <c r="H26" s="2"/>
    </row>
    <row r="27" spans="1:24" x14ac:dyDescent="0.3">
      <c r="A27" s="4"/>
      <c r="B27" s="4"/>
      <c r="C27" s="2"/>
      <c r="D27" s="2"/>
      <c r="E27" s="2"/>
      <c r="F27" s="2"/>
      <c r="G27" s="2"/>
      <c r="H27" s="2"/>
    </row>
    <row r="28" spans="1:24" x14ac:dyDescent="0.3">
      <c r="A28" s="4"/>
      <c r="B28" s="4"/>
      <c r="C28" s="2"/>
      <c r="D28" s="2"/>
      <c r="E28" s="2"/>
      <c r="F28" s="2"/>
      <c r="G28" s="2"/>
      <c r="H28" s="2"/>
    </row>
    <row r="29" spans="1:24" x14ac:dyDescent="0.3">
      <c r="A29" s="4"/>
      <c r="B29" s="4"/>
      <c r="C29" s="2"/>
      <c r="D29" s="2"/>
      <c r="E29" s="2"/>
      <c r="F29" s="2"/>
      <c r="G29" s="2"/>
      <c r="H29" s="2"/>
    </row>
    <row r="30" spans="1:24" x14ac:dyDescent="0.3">
      <c r="A30" s="4"/>
      <c r="B30" s="4"/>
      <c r="C30" s="2"/>
      <c r="D30" s="2"/>
      <c r="E30" s="2"/>
      <c r="F30" s="2"/>
      <c r="G30" s="2"/>
      <c r="H30" s="2"/>
    </row>
    <row r="31" spans="1:24" x14ac:dyDescent="0.3">
      <c r="A31" s="4"/>
      <c r="B31" s="4"/>
      <c r="C31" s="2"/>
      <c r="D31" s="2"/>
      <c r="E31" s="2"/>
      <c r="F31" s="2"/>
      <c r="G31" s="2"/>
      <c r="H31" s="2"/>
    </row>
    <row r="32" spans="1:24" x14ac:dyDescent="0.3">
      <c r="A32" s="5"/>
      <c r="B32" s="5"/>
      <c r="C32" s="3"/>
      <c r="D32" s="3"/>
      <c r="E32" s="3"/>
      <c r="F32" s="3"/>
      <c r="G32" s="3"/>
      <c r="H32" s="3"/>
    </row>
    <row r="33" spans="1:8" x14ac:dyDescent="0.3">
      <c r="A33" s="5"/>
      <c r="B33" s="5"/>
      <c r="C33" s="3"/>
      <c r="D33" s="3"/>
      <c r="E33" s="3"/>
      <c r="F33" s="3"/>
      <c r="G33" s="3"/>
      <c r="H33" s="3"/>
    </row>
    <row r="34" spans="1:8" x14ac:dyDescent="0.3">
      <c r="A34" s="6"/>
      <c r="B34" s="6"/>
    </row>
    <row r="35" spans="1:8" x14ac:dyDescent="0.3">
      <c r="A35" s="6"/>
      <c r="B35" s="6"/>
    </row>
    <row r="36" spans="1:8" x14ac:dyDescent="0.3">
      <c r="A36" s="6"/>
      <c r="B36" s="6"/>
    </row>
    <row r="37" spans="1:8" x14ac:dyDescent="0.3">
      <c r="A37" s="6"/>
      <c r="B37" s="6"/>
      <c r="C37" s="15" t="s">
        <v>262</v>
      </c>
    </row>
    <row r="60" spans="8:8" x14ac:dyDescent="0.3">
      <c r="H60" s="36"/>
    </row>
  </sheetData>
  <mergeCells count="2">
    <mergeCell ref="AA3:AA5"/>
    <mergeCell ref="AA7:AA9"/>
  </mergeCells>
  <phoneticPr fontId="6" type="noConversion"/>
  <pageMargins left="0.75" right="0.75" top="1" bottom="1" header="0.5" footer="0.5"/>
  <pageSetup paperSize="10" orientation="landscape" horizontalDpi="4294967292" verticalDpi="4294967292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zoomScale="10" zoomScaleNormal="10" workbookViewId="0">
      <selection activeCell="AE49" sqref="AE49"/>
    </sheetView>
  </sheetViews>
  <sheetFormatPr defaultColWidth="11" defaultRowHeight="13.5" x14ac:dyDescent="0.3"/>
  <cols>
    <col min="1" max="1" width="14.15234375" style="101" bestFit="1" customWidth="1"/>
    <col min="2" max="3" width="11" style="101"/>
    <col min="4" max="4" width="11.23046875" style="101" customWidth="1"/>
    <col min="5" max="5" width="11" style="101"/>
    <col min="6" max="6" width="19.23046875" style="101" customWidth="1"/>
    <col min="7" max="7" width="11" style="101"/>
    <col min="8" max="8" width="8.15234375" style="101" customWidth="1"/>
    <col min="9" max="21" width="7.61328125" style="101" customWidth="1"/>
    <col min="22" max="24" width="8.23046875" style="101" bestFit="1" customWidth="1"/>
    <col min="25" max="25" width="9.15234375" style="101" customWidth="1"/>
    <col min="26" max="16384" width="11" style="101"/>
  </cols>
  <sheetData>
    <row r="1" spans="1:47" x14ac:dyDescent="0.3">
      <c r="B1" s="105" t="s">
        <v>35</v>
      </c>
      <c r="C1" s="49" t="s">
        <v>90</v>
      </c>
    </row>
    <row r="2" spans="1:47" s="105" customFormat="1" ht="27" x14ac:dyDescent="0.3">
      <c r="D2" s="105">
        <v>2010</v>
      </c>
      <c r="E2" s="105">
        <v>2011</v>
      </c>
      <c r="F2" s="105">
        <v>2012</v>
      </c>
      <c r="G2" s="105">
        <v>2013</v>
      </c>
      <c r="H2" s="105">
        <v>2014</v>
      </c>
      <c r="I2" s="105">
        <v>2015</v>
      </c>
      <c r="J2" s="105">
        <v>2016</v>
      </c>
      <c r="K2" s="105">
        <v>2017</v>
      </c>
      <c r="L2" s="105">
        <v>2018</v>
      </c>
      <c r="M2" s="105">
        <v>2019</v>
      </c>
      <c r="N2" s="105">
        <v>2020</v>
      </c>
      <c r="O2" s="105">
        <v>2021</v>
      </c>
      <c r="P2" s="105">
        <v>2022</v>
      </c>
      <c r="Q2" s="105">
        <v>2023</v>
      </c>
      <c r="R2" s="105">
        <v>2024</v>
      </c>
      <c r="S2" s="105">
        <v>2025</v>
      </c>
      <c r="T2" s="105">
        <v>2026</v>
      </c>
      <c r="U2" s="105">
        <v>2027</v>
      </c>
      <c r="V2" s="105">
        <v>2028</v>
      </c>
      <c r="W2" s="105">
        <v>2029</v>
      </c>
      <c r="X2" s="105">
        <v>2030</v>
      </c>
      <c r="Y2" s="177" t="s">
        <v>10</v>
      </c>
      <c r="AA2" s="8"/>
      <c r="AB2" s="8">
        <v>2011</v>
      </c>
      <c r="AC2" s="7">
        <v>2012</v>
      </c>
      <c r="AD2" s="7">
        <v>2013</v>
      </c>
      <c r="AE2" s="7">
        <v>2014</v>
      </c>
      <c r="AF2" s="7">
        <v>2015</v>
      </c>
      <c r="AG2" s="7">
        <v>2016</v>
      </c>
      <c r="AH2" s="7">
        <v>2017</v>
      </c>
      <c r="AI2" s="7">
        <v>2018</v>
      </c>
      <c r="AJ2" s="7">
        <v>2019</v>
      </c>
      <c r="AK2" s="7">
        <v>2020</v>
      </c>
      <c r="AL2" s="7">
        <v>2021</v>
      </c>
      <c r="AM2" s="7">
        <v>2022</v>
      </c>
      <c r="AN2" s="7">
        <v>2023</v>
      </c>
      <c r="AO2" s="7">
        <v>2024</v>
      </c>
      <c r="AP2" s="7">
        <v>2025</v>
      </c>
      <c r="AQ2" s="7">
        <v>2026</v>
      </c>
      <c r="AR2" s="7">
        <v>2027</v>
      </c>
      <c r="AS2" s="7">
        <v>2028</v>
      </c>
      <c r="AT2" s="7">
        <v>2029</v>
      </c>
      <c r="AU2" s="7">
        <v>2030</v>
      </c>
    </row>
    <row r="3" spans="1:47" ht="14" x14ac:dyDescent="0.3">
      <c r="A3" s="101" t="s">
        <v>64</v>
      </c>
      <c r="B3" s="178"/>
      <c r="C3" s="178"/>
      <c r="D3" s="181">
        <f>Production!B3*3</f>
        <v>438</v>
      </c>
      <c r="E3" s="181">
        <f>Production!B3*2+Production!C3</f>
        <v>440</v>
      </c>
      <c r="F3" s="181">
        <f>SUM(Production!B3:D3)</f>
        <v>445</v>
      </c>
      <c r="G3" s="181">
        <f>SUM(Production!C3:E3)</f>
        <v>446.98</v>
      </c>
      <c r="H3" s="181">
        <f>SUM(Production!D3:F3)</f>
        <v>444.00040000000001</v>
      </c>
      <c r="I3" s="181">
        <f>SUM(Production!E3:G3)</f>
        <v>435.12039200000004</v>
      </c>
      <c r="J3" s="181">
        <f>SUM(Production!F3:H3)</f>
        <v>426.41798416</v>
      </c>
      <c r="K3" s="181">
        <f>SUM(Production!G3:I3)</f>
        <v>417.8896244767999</v>
      </c>
      <c r="L3" s="181">
        <f>SUM(Production!H3:J3)</f>
        <v>409.53183198726396</v>
      </c>
      <c r="M3" s="181">
        <f>SUM(Production!I3:K3)</f>
        <v>401.34119534751869</v>
      </c>
      <c r="N3" s="181">
        <f>SUM(Production!J3:L3)</f>
        <v>393.31437144056827</v>
      </c>
      <c r="O3" s="181">
        <f>SUM(Production!K3:M3)</f>
        <v>385.44808401175692</v>
      </c>
      <c r="P3" s="181">
        <f>SUM(Production!L3:N3)</f>
        <v>377.7391223315218</v>
      </c>
      <c r="Q3" s="181">
        <f>SUM(Production!M3:O3)</f>
        <v>370.18433988489141</v>
      </c>
      <c r="R3" s="181">
        <f>SUM(Production!N3:P3)</f>
        <v>362.78065308719363</v>
      </c>
      <c r="S3" s="181">
        <f>SUM(Production!O3:Q3)</f>
        <v>355.52504002544981</v>
      </c>
      <c r="T3" s="181">
        <f>SUM(Production!P3:R3)</f>
        <v>348.41453922494082</v>
      </c>
      <c r="U3" s="181">
        <f>SUM(Production!Q3:S3)</f>
        <v>341.44624844044205</v>
      </c>
      <c r="V3" s="181">
        <f>SUM(Production!R3:T3)</f>
        <v>334.6173234716332</v>
      </c>
      <c r="W3" s="181">
        <f>SUM(Production!S3:U3)</f>
        <v>327.92497700220059</v>
      </c>
      <c r="X3" s="181">
        <f>SUM(Production!T3:V3)</f>
        <v>321.36647746215658</v>
      </c>
      <c r="Y3" s="101">
        <v>220</v>
      </c>
      <c r="Z3" s="101" t="s">
        <v>37</v>
      </c>
      <c r="AA3" s="36" t="s">
        <v>57</v>
      </c>
      <c r="AB3" s="36">
        <v>0.95</v>
      </c>
      <c r="AC3" s="35">
        <f>AB3*0.95</f>
        <v>0.90249999999999997</v>
      </c>
      <c r="AD3" s="22">
        <f>AC3*0.95</f>
        <v>0.85737499999999989</v>
      </c>
      <c r="AE3" s="22">
        <f t="shared" ref="AE3:AU3" si="0">AD3*0.95</f>
        <v>0.81450624999999988</v>
      </c>
      <c r="AF3" s="22">
        <f t="shared" si="0"/>
        <v>0.77378093749999988</v>
      </c>
      <c r="AG3" s="22">
        <f t="shared" si="0"/>
        <v>0.7350918906249998</v>
      </c>
      <c r="AH3" s="22">
        <f t="shared" si="0"/>
        <v>0.69833729609374973</v>
      </c>
      <c r="AI3" s="22">
        <f t="shared" si="0"/>
        <v>0.66342043128906225</v>
      </c>
      <c r="AJ3" s="22">
        <f t="shared" si="0"/>
        <v>0.63024940972460908</v>
      </c>
      <c r="AK3" s="22">
        <f t="shared" si="0"/>
        <v>0.59873693923837856</v>
      </c>
      <c r="AL3" s="22">
        <f t="shared" si="0"/>
        <v>0.56880009227645956</v>
      </c>
      <c r="AM3" s="22">
        <f t="shared" si="0"/>
        <v>0.54036008766263655</v>
      </c>
      <c r="AN3" s="22">
        <f t="shared" si="0"/>
        <v>0.5133420832795047</v>
      </c>
      <c r="AO3" s="22">
        <f t="shared" si="0"/>
        <v>0.48767497911552943</v>
      </c>
      <c r="AP3" s="22">
        <f t="shared" si="0"/>
        <v>0.46329123015975293</v>
      </c>
      <c r="AQ3" s="22">
        <f t="shared" si="0"/>
        <v>0.44012666865176525</v>
      </c>
      <c r="AR3" s="22">
        <f t="shared" si="0"/>
        <v>0.41812033521917696</v>
      </c>
      <c r="AS3" s="22">
        <f t="shared" si="0"/>
        <v>0.39721431845821809</v>
      </c>
      <c r="AT3" s="22">
        <f t="shared" si="0"/>
        <v>0.37735360253530714</v>
      </c>
      <c r="AU3" s="22">
        <f t="shared" si="0"/>
        <v>0.35848592240854177</v>
      </c>
    </row>
    <row r="4" spans="1:47" ht="14" x14ac:dyDescent="0.3">
      <c r="A4" s="101" t="s">
        <v>65</v>
      </c>
      <c r="B4" s="178"/>
      <c r="C4" s="178"/>
      <c r="D4" s="181">
        <f>Production!B4*3</f>
        <v>486</v>
      </c>
      <c r="E4" s="181">
        <f>Production!B4*2+Production!C4</f>
        <v>489</v>
      </c>
      <c r="F4" s="181">
        <f>SUM(Production!B4:D4)</f>
        <v>496</v>
      </c>
      <c r="G4" s="181">
        <f>SUM(Production!C4:E4)</f>
        <v>499.62</v>
      </c>
      <c r="H4" s="181">
        <f>SUM(Production!D4:F4)</f>
        <v>496.92759999999998</v>
      </c>
      <c r="I4" s="181">
        <f>SUM(Production!E4:G4)</f>
        <v>486.98904800000003</v>
      </c>
      <c r="J4" s="181">
        <f>SUM(Production!F4:H4)</f>
        <v>477.24926704000006</v>
      </c>
      <c r="K4" s="181">
        <f>SUM(Production!G4:I4)</f>
        <v>467.70428169920001</v>
      </c>
      <c r="L4" s="181">
        <f>SUM(Production!H4:J4)</f>
        <v>458.35019606521604</v>
      </c>
      <c r="M4" s="181">
        <f>SUM(Production!I4:K4)</f>
        <v>449.18319214391175</v>
      </c>
      <c r="N4" s="181">
        <f>SUM(Production!J4:L4)</f>
        <v>440.19952830103352</v>
      </c>
      <c r="O4" s="181">
        <f>SUM(Production!K4:M4)</f>
        <v>431.39553773501285</v>
      </c>
      <c r="P4" s="181">
        <f>SUM(Production!L4:N4)</f>
        <v>422.76762698031257</v>
      </c>
      <c r="Q4" s="181">
        <f>SUM(Production!M4:O4)</f>
        <v>414.31227444070623</v>
      </c>
      <c r="R4" s="181">
        <f>SUM(Production!N4:P4)</f>
        <v>406.02602895189216</v>
      </c>
      <c r="S4" s="181">
        <f>SUM(Production!O4:Q4)</f>
        <v>397.90550837285423</v>
      </c>
      <c r="T4" s="181">
        <f>SUM(Production!P4:R4)</f>
        <v>389.94739820539706</v>
      </c>
      <c r="U4" s="181">
        <f>SUM(Production!Q4:S4)</f>
        <v>382.14845024128908</v>
      </c>
      <c r="V4" s="181">
        <f>SUM(Production!R4:T4)</f>
        <v>374.50548123646331</v>
      </c>
      <c r="W4" s="181">
        <f>SUM(Production!S4:U4)</f>
        <v>367.015371611734</v>
      </c>
      <c r="X4" s="181">
        <f>SUM(Production!T4:V4)</f>
        <v>359.67506417949926</v>
      </c>
      <c r="Y4" s="101">
        <v>97</v>
      </c>
      <c r="Z4" s="101">
        <v>1.05</v>
      </c>
      <c r="AA4" s="36" t="s">
        <v>16</v>
      </c>
      <c r="AB4" s="36">
        <v>0.97</v>
      </c>
      <c r="AC4" s="35">
        <f>AB4*0.97</f>
        <v>0.94089999999999996</v>
      </c>
      <c r="AD4" s="22">
        <f>AC4*0.97</f>
        <v>0.91267299999999996</v>
      </c>
      <c r="AE4" s="22">
        <f t="shared" ref="AE4:AU4" si="1">AD4*0.97</f>
        <v>0.88529280999999993</v>
      </c>
      <c r="AF4" s="22">
        <f t="shared" si="1"/>
        <v>0.8587340256999999</v>
      </c>
      <c r="AG4" s="22">
        <f t="shared" si="1"/>
        <v>0.83297200492899992</v>
      </c>
      <c r="AH4" s="22">
        <f t="shared" si="1"/>
        <v>0.80798284478112992</v>
      </c>
      <c r="AI4" s="22">
        <f t="shared" si="1"/>
        <v>0.78374335943769602</v>
      </c>
      <c r="AJ4" s="22">
        <f t="shared" si="1"/>
        <v>0.76023105865456508</v>
      </c>
      <c r="AK4" s="22">
        <f t="shared" si="1"/>
        <v>0.73742412689492809</v>
      </c>
      <c r="AL4" s="22">
        <f t="shared" si="1"/>
        <v>0.71530140308808021</v>
      </c>
      <c r="AM4" s="22">
        <f t="shared" si="1"/>
        <v>0.69384236099543783</v>
      </c>
      <c r="AN4" s="22">
        <f t="shared" si="1"/>
        <v>0.67302709016557472</v>
      </c>
      <c r="AO4" s="22">
        <f t="shared" si="1"/>
        <v>0.65283627746060746</v>
      </c>
      <c r="AP4" s="22">
        <f t="shared" si="1"/>
        <v>0.63325118913678924</v>
      </c>
      <c r="AQ4" s="22">
        <f t="shared" si="1"/>
        <v>0.61425365346268557</v>
      </c>
      <c r="AR4" s="22">
        <f t="shared" si="1"/>
        <v>0.595826043858805</v>
      </c>
      <c r="AS4" s="22">
        <f t="shared" si="1"/>
        <v>0.57795126254304086</v>
      </c>
      <c r="AT4" s="22">
        <f t="shared" si="1"/>
        <v>0.56061272466674961</v>
      </c>
      <c r="AU4" s="22">
        <f t="shared" si="1"/>
        <v>0.54379434292674711</v>
      </c>
    </row>
    <row r="5" spans="1:47" ht="14" x14ac:dyDescent="0.3">
      <c r="A5" s="101" t="s">
        <v>66</v>
      </c>
      <c r="B5" s="178"/>
      <c r="C5" s="180"/>
      <c r="D5" s="181">
        <f>Production!B5*3</f>
        <v>603</v>
      </c>
      <c r="E5" s="181">
        <f>Production!B5*2+Production!C5</f>
        <v>617</v>
      </c>
      <c r="F5" s="181">
        <f>SUM(Production!B5:D5)</f>
        <v>662</v>
      </c>
      <c r="G5" s="181">
        <f>SUM(Production!C5:E5)</f>
        <v>745</v>
      </c>
      <c r="H5" s="181">
        <f>SUM(Production!D5:F5)</f>
        <v>862</v>
      </c>
      <c r="I5" s="181">
        <f>SUM(Production!E5:G5)</f>
        <v>1000</v>
      </c>
      <c r="J5" s="181">
        <f>SUM(Production!F5:H5)</f>
        <v>1159</v>
      </c>
      <c r="K5" s="181">
        <f>SUM(Production!G5:I5)</f>
        <v>1338.0651041666665</v>
      </c>
      <c r="L5" s="181">
        <f>SUM(Production!H5:J5)</f>
        <v>1543.6532321506074</v>
      </c>
      <c r="M5" s="181">
        <f>SUM(Production!I5:K5)</f>
        <v>1780.829119382081</v>
      </c>
      <c r="N5" s="181">
        <f>SUM(Production!J5:L5)</f>
        <v>2054.446093453807</v>
      </c>
      <c r="O5" s="181">
        <f>SUM(Production!K5:M5)</f>
        <v>2123.9909111901156</v>
      </c>
      <c r="P5" s="181">
        <f>SUM(Production!L5:N5)</f>
        <v>1997.4866983636516</v>
      </c>
      <c r="Q5" s="181">
        <f>SUM(Production!M5:O5)</f>
        <v>1677.8888266254671</v>
      </c>
      <c r="R5" s="181">
        <f>SUM(Production!N5:P5)</f>
        <v>1409.426614365392</v>
      </c>
      <c r="S5" s="181">
        <f>SUM(Production!O5:Q5)</f>
        <v>1183.9183560669289</v>
      </c>
      <c r="T5" s="181">
        <f>SUM(Production!P5:R5)</f>
        <v>994.49141909621994</v>
      </c>
      <c r="U5" s="181">
        <f>SUM(Production!Q5:S5)</f>
        <v>835.37279204082461</v>
      </c>
      <c r="V5" s="181">
        <f>SUM(Production!R5:T5)</f>
        <v>701.71314531429255</v>
      </c>
      <c r="W5" s="181">
        <f>SUM(Production!S5:U5)</f>
        <v>589.43904206400566</v>
      </c>
      <c r="X5" s="181">
        <f>SUM(Production!T5:V5)</f>
        <v>495.12879533376469</v>
      </c>
      <c r="Y5" s="101">
        <v>80</v>
      </c>
      <c r="AA5" s="36" t="s">
        <v>58</v>
      </c>
      <c r="AB5" s="36">
        <v>0.99</v>
      </c>
      <c r="AC5" s="35">
        <f>AB5*0.99</f>
        <v>0.98009999999999997</v>
      </c>
      <c r="AD5" s="22">
        <f>AC5*0.99</f>
        <v>0.97029899999999991</v>
      </c>
      <c r="AE5" s="22">
        <f t="shared" ref="AE5:AU5" si="2">AD5*0.99</f>
        <v>0.96059600999999994</v>
      </c>
      <c r="AF5" s="22">
        <f t="shared" si="2"/>
        <v>0.95099004989999991</v>
      </c>
      <c r="AG5" s="22">
        <f t="shared" si="2"/>
        <v>0.94148014940099989</v>
      </c>
      <c r="AH5" s="22">
        <f t="shared" si="2"/>
        <v>0.93206534790698992</v>
      </c>
      <c r="AI5" s="22">
        <f t="shared" si="2"/>
        <v>0.92274469442791995</v>
      </c>
      <c r="AJ5" s="22">
        <f t="shared" si="2"/>
        <v>0.91351724748364072</v>
      </c>
      <c r="AK5" s="22">
        <f t="shared" si="2"/>
        <v>0.9043820750088043</v>
      </c>
      <c r="AL5" s="22">
        <f t="shared" si="2"/>
        <v>0.89533825425871627</v>
      </c>
      <c r="AM5" s="22">
        <f t="shared" si="2"/>
        <v>0.88638487171612912</v>
      </c>
      <c r="AN5" s="22">
        <f t="shared" si="2"/>
        <v>0.87752102299896784</v>
      </c>
      <c r="AO5" s="22">
        <f t="shared" si="2"/>
        <v>0.86874581276897811</v>
      </c>
      <c r="AP5" s="22">
        <f t="shared" si="2"/>
        <v>0.86005835464128833</v>
      </c>
      <c r="AQ5" s="22">
        <f t="shared" si="2"/>
        <v>0.85145777109487542</v>
      </c>
      <c r="AR5" s="22">
        <f t="shared" si="2"/>
        <v>0.84294319338392665</v>
      </c>
      <c r="AS5" s="22">
        <f t="shared" si="2"/>
        <v>0.83451376145008738</v>
      </c>
      <c r="AT5" s="22">
        <f t="shared" si="2"/>
        <v>0.82616862383558654</v>
      </c>
      <c r="AU5" s="22">
        <f t="shared" si="2"/>
        <v>0.81790693759723065</v>
      </c>
    </row>
    <row r="6" spans="1:47" x14ac:dyDescent="0.3">
      <c r="A6" s="101" t="s">
        <v>67</v>
      </c>
      <c r="B6" s="178"/>
      <c r="C6" s="180"/>
      <c r="D6" s="181">
        <f>Production!B6</f>
        <v>350</v>
      </c>
      <c r="E6" s="181">
        <f>Production!C6</f>
        <v>460</v>
      </c>
      <c r="F6" s="181">
        <f>Production!D6</f>
        <v>700</v>
      </c>
      <c r="G6" s="181">
        <f>Production!E6</f>
        <v>900</v>
      </c>
      <c r="H6" s="181">
        <f>Production!F6</f>
        <v>1175</v>
      </c>
      <c r="I6" s="181">
        <f>Production!G6</f>
        <v>1390</v>
      </c>
      <c r="J6" s="181">
        <f>Production!H6</f>
        <v>1459.5</v>
      </c>
      <c r="K6" s="181">
        <f>Production!I6</f>
        <v>1532.4750000000001</v>
      </c>
      <c r="L6" s="181">
        <f>Production!J6</f>
        <v>1609.0987500000001</v>
      </c>
      <c r="M6" s="181">
        <f>Production!K6</f>
        <v>1689.5536875000003</v>
      </c>
      <c r="N6" s="181">
        <f>Production!L6</f>
        <v>1774.0313718750003</v>
      </c>
      <c r="O6" s="181">
        <f>Production!M6</f>
        <v>1774</v>
      </c>
      <c r="P6" s="181">
        <f>Production!N6</f>
        <v>1774</v>
      </c>
      <c r="Q6" s="181">
        <f>Production!O6</f>
        <v>1774</v>
      </c>
      <c r="R6" s="181">
        <f>Production!P6</f>
        <v>1774</v>
      </c>
      <c r="S6" s="181">
        <f>Production!Q6</f>
        <v>1774</v>
      </c>
      <c r="T6" s="181">
        <f>Production!R6</f>
        <v>1774</v>
      </c>
      <c r="U6" s="181">
        <f>Production!S6</f>
        <v>1774</v>
      </c>
      <c r="V6" s="181">
        <f>Production!T6</f>
        <v>1774</v>
      </c>
      <c r="W6" s="181">
        <f>Production!U6</f>
        <v>1774</v>
      </c>
      <c r="X6" s="181">
        <f>Production!V6</f>
        <v>1774</v>
      </c>
      <c r="Y6" s="101">
        <v>5</v>
      </c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</row>
    <row r="7" spans="1:47" x14ac:dyDescent="0.3">
      <c r="A7" s="49" t="s">
        <v>114</v>
      </c>
      <c r="B7" s="178"/>
      <c r="C7" s="180"/>
      <c r="D7" s="181">
        <f>Production!B7</f>
        <v>50</v>
      </c>
      <c r="E7" s="181">
        <f>Production!C7</f>
        <v>100</v>
      </c>
      <c r="F7" s="181">
        <f>Production!D7</f>
        <v>150</v>
      </c>
      <c r="G7" s="181">
        <f>Production!E7</f>
        <v>207</v>
      </c>
      <c r="H7" s="181">
        <f>Production!F7</f>
        <v>256</v>
      </c>
      <c r="I7" s="181">
        <f>Production!G7</f>
        <v>321</v>
      </c>
      <c r="J7" s="181">
        <f>Production!H7</f>
        <v>369.15</v>
      </c>
      <c r="K7" s="181">
        <f>Production!I7</f>
        <v>424.52249999999992</v>
      </c>
      <c r="L7" s="181">
        <f>Production!J7</f>
        <v>488.20087499999988</v>
      </c>
      <c r="M7" s="181">
        <f>Production!K7</f>
        <v>561.43100624999977</v>
      </c>
      <c r="N7" s="181">
        <f>Production!L7</f>
        <v>561</v>
      </c>
      <c r="O7" s="181">
        <f>Production!M7</f>
        <v>561</v>
      </c>
      <c r="P7" s="181">
        <f>Production!N7</f>
        <v>561</v>
      </c>
      <c r="Q7" s="181">
        <f>Production!O7</f>
        <v>561</v>
      </c>
      <c r="R7" s="181">
        <f>Production!P7</f>
        <v>561</v>
      </c>
      <c r="S7" s="181">
        <f>Production!Q7</f>
        <v>561</v>
      </c>
      <c r="T7" s="181">
        <f>Production!R7</f>
        <v>561</v>
      </c>
      <c r="U7" s="181">
        <f>Production!S7</f>
        <v>561</v>
      </c>
      <c r="V7" s="181">
        <f>Production!T7</f>
        <v>561</v>
      </c>
      <c r="W7" s="181">
        <f>Production!U7</f>
        <v>561</v>
      </c>
      <c r="X7" s="181">
        <f>Production!V7</f>
        <v>561</v>
      </c>
      <c r="Y7" s="101">
        <v>15</v>
      </c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</row>
    <row r="8" spans="1:47" x14ac:dyDescent="0.3">
      <c r="A8" s="49" t="s">
        <v>290</v>
      </c>
      <c r="B8" s="178"/>
      <c r="C8" s="180"/>
      <c r="D8" s="181">
        <f>Production!B8</f>
        <v>1250</v>
      </c>
      <c r="E8" s="181">
        <f>Production!C8</f>
        <v>1260</v>
      </c>
      <c r="F8" s="181">
        <f>Production!D8</f>
        <v>1050</v>
      </c>
      <c r="G8" s="181">
        <f>Production!E8</f>
        <v>906</v>
      </c>
      <c r="H8" s="181">
        <f>Production!F8</f>
        <v>593</v>
      </c>
      <c r="I8" s="181">
        <f>Production!G8</f>
        <v>764</v>
      </c>
      <c r="J8" s="181">
        <f>Production!H8</f>
        <v>725.8</v>
      </c>
      <c r="K8" s="181">
        <f>Production!I8</f>
        <v>689.50999999999988</v>
      </c>
      <c r="L8" s="181">
        <f>Production!J8</f>
        <v>655.03449999999987</v>
      </c>
      <c r="M8" s="181">
        <f>Production!K8</f>
        <v>622.28277499999979</v>
      </c>
      <c r="N8" s="181">
        <f>Production!L8</f>
        <v>591.16863624999974</v>
      </c>
      <c r="O8" s="181">
        <f>Production!M8</f>
        <v>561.61020443749976</v>
      </c>
      <c r="P8" s="181">
        <f>Production!N8</f>
        <v>533.52969421562477</v>
      </c>
      <c r="Q8" s="181">
        <f>Production!O8</f>
        <v>506.85320950484351</v>
      </c>
      <c r="R8" s="181">
        <f>Production!P8</f>
        <v>481.51054902960129</v>
      </c>
      <c r="S8" s="181">
        <f>Production!Q8</f>
        <v>457.43502157812122</v>
      </c>
      <c r="T8" s="181">
        <f>Production!R8</f>
        <v>434.56327049921515</v>
      </c>
      <c r="U8" s="181">
        <f>Production!S8</f>
        <v>412.83510697425436</v>
      </c>
      <c r="V8" s="181">
        <f>Production!T8</f>
        <v>392.1933516255416</v>
      </c>
      <c r="W8" s="181">
        <f>Production!U8</f>
        <v>372.58368404426449</v>
      </c>
      <c r="X8" s="181">
        <f>Production!V8</f>
        <v>353.95449984205123</v>
      </c>
      <c r="Y8" s="178">
        <v>1</v>
      </c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</row>
    <row r="9" spans="1:47" x14ac:dyDescent="0.3">
      <c r="A9" s="49" t="s">
        <v>69</v>
      </c>
      <c r="B9" s="178"/>
      <c r="C9" s="180"/>
      <c r="D9" s="181">
        <f>Production!B9</f>
        <v>0</v>
      </c>
      <c r="E9" s="181">
        <f>Production!C9</f>
        <v>0</v>
      </c>
      <c r="F9" s="181">
        <f>Production!D9</f>
        <v>10</v>
      </c>
      <c r="G9" s="181">
        <f>Production!E9</f>
        <v>50</v>
      </c>
      <c r="H9" s="181">
        <f>Production!F9</f>
        <v>100</v>
      </c>
      <c r="I9" s="181">
        <f>Production!G9</f>
        <v>143.333333333333</v>
      </c>
      <c r="J9" s="181">
        <f>Production!H9</f>
        <v>188.333333333333</v>
      </c>
      <c r="K9" s="181">
        <f>Production!I9</f>
        <v>233.333333333333</v>
      </c>
      <c r="L9" s="181">
        <f>Production!J9</f>
        <v>278.33333333333297</v>
      </c>
      <c r="M9" s="181">
        <f>Production!K9</f>
        <v>323.33333333333297</v>
      </c>
      <c r="N9" s="181">
        <f>Production!L9</f>
        <v>368.33333333333297</v>
      </c>
      <c r="O9" s="181">
        <f>Production!M9</f>
        <v>427.2666666666662</v>
      </c>
      <c r="P9" s="181">
        <f>Production!N9</f>
        <v>495.62933333333274</v>
      </c>
      <c r="Q9" s="181">
        <f>Production!O9</f>
        <v>574.93002666666598</v>
      </c>
      <c r="R9" s="181">
        <f>Production!P9</f>
        <v>666.91883093333252</v>
      </c>
      <c r="S9" s="181">
        <f>Production!Q9</f>
        <v>773.62584388266566</v>
      </c>
      <c r="T9" s="181">
        <f>Production!R9</f>
        <v>897.40597890389211</v>
      </c>
      <c r="U9" s="181">
        <f>Production!S9</f>
        <v>1040.9909355285147</v>
      </c>
      <c r="V9" s="181">
        <f>Production!T9</f>
        <v>1207.5494852130769</v>
      </c>
      <c r="W9" s="181">
        <f>Production!U9</f>
        <v>1400.757402847169</v>
      </c>
      <c r="X9" s="181">
        <f>Production!V9</f>
        <v>1624.8785873027159</v>
      </c>
      <c r="Y9" s="178">
        <v>10</v>
      </c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</row>
    <row r="10" spans="1:47" x14ac:dyDescent="0.3">
      <c r="B10" s="178"/>
      <c r="C10" s="17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AC10" s="179"/>
      <c r="AD10" s="179"/>
      <c r="AE10" s="179"/>
      <c r="AF10" s="179"/>
      <c r="AG10" s="179"/>
      <c r="AH10" s="179"/>
      <c r="AI10" s="179"/>
    </row>
    <row r="11" spans="1:47" x14ac:dyDescent="0.3">
      <c r="A11" s="101" t="s">
        <v>70</v>
      </c>
      <c r="B11" s="178"/>
      <c r="C11" s="178"/>
      <c r="D11" s="181">
        <f>Production!B13*8</f>
        <v>2000</v>
      </c>
      <c r="E11" s="181">
        <f>Production!B13*7+Production!C13</f>
        <v>2003.75</v>
      </c>
      <c r="F11" s="181">
        <f>Production!B13*6+Production!C13+Production!D13</f>
        <v>2011.3062499999999</v>
      </c>
      <c r="G11" s="181">
        <f>Production!B13*5+Production!C13++Production!D13+Production!E13</f>
        <v>2022.7258437499997</v>
      </c>
      <c r="H11" s="181">
        <f>Production!B13*4+Production!C13++Production!D13+Production!E13+Production!F13</f>
        <v>2038.0667314062496</v>
      </c>
      <c r="I11" s="181">
        <f>Production!B13*3+Production!C13++Production!D13+Production!E13+Production!F13+Production!G13</f>
        <v>2057.3877323773431</v>
      </c>
      <c r="J11" s="181">
        <f>Production!B13*2+Production!C13++Production!D13+Production!E13+Production!F13+Production!G13+Production!H13</f>
        <v>2080.748548363003</v>
      </c>
      <c r="K11" s="181">
        <f>SUM(Production!B13:I13)</f>
        <v>2108.2097765884478</v>
      </c>
      <c r="L11" s="181">
        <f>SUM(Production!C13:J13)</f>
        <v>2139.8329232372744</v>
      </c>
      <c r="M11" s="181">
        <f>SUM(Production!D13:K13)</f>
        <v>2171.9304170858331</v>
      </c>
      <c r="N11" s="181">
        <f>SUM(Production!E13:L13)</f>
        <v>2204.5093733421204</v>
      </c>
      <c r="O11" s="181">
        <f>SUM(Production!F13:M13)</f>
        <v>2237.5770139422516</v>
      </c>
      <c r="P11" s="181">
        <f>SUM(Production!G13:N13)</f>
        <v>2271.1406691513853</v>
      </c>
      <c r="Q11" s="181">
        <f>SUM(Production!H13:O13)</f>
        <v>2305.2077791886559</v>
      </c>
      <c r="R11" s="181">
        <f>SUM(Production!I13:P13)</f>
        <v>2339.7858958764859</v>
      </c>
      <c r="S11" s="181">
        <f>SUM(Production!J13:Q13)</f>
        <v>2374.882684314633</v>
      </c>
      <c r="T11" s="181">
        <f>SUM(Production!K13:R13)</f>
        <v>2410.5059245793523</v>
      </c>
      <c r="U11" s="181">
        <f>SUM(Production!L13:S13)</f>
        <v>2446.6635134480425</v>
      </c>
      <c r="V11" s="181">
        <f>SUM(Production!M13:T13)</f>
        <v>2483.3634661497626</v>
      </c>
      <c r="W11" s="181">
        <f>SUM(Production!N13:U13)</f>
        <v>2520.613918142009</v>
      </c>
      <c r="X11" s="181">
        <f>SUM(Production!O13:V13)</f>
        <v>2558.4231269141392</v>
      </c>
      <c r="Y11" s="101">
        <v>200</v>
      </c>
      <c r="Z11" s="101" t="s">
        <v>36</v>
      </c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</row>
    <row r="12" spans="1:47" x14ac:dyDescent="0.3">
      <c r="A12" s="101" t="s">
        <v>220</v>
      </c>
      <c r="B12" s="178"/>
      <c r="C12" s="178"/>
      <c r="D12" s="181">
        <f>Production!B14*8</f>
        <v>760</v>
      </c>
      <c r="E12" s="181">
        <f>Production!B14*7+Production!C14</f>
        <v>761.42499999999995</v>
      </c>
      <c r="F12" s="181">
        <f>Production!B14*6+Production!C14+Production!D14</f>
        <v>764.2963749999999</v>
      </c>
      <c r="G12" s="181">
        <f>Production!B14*5+Production!C14++Production!D14+Production!E14</f>
        <v>768.63582062499984</v>
      </c>
      <c r="H12" s="181">
        <f>Production!B14*4+Production!C14++Production!D14+Production!E14+Production!F14</f>
        <v>774.46535793437488</v>
      </c>
      <c r="I12" s="181">
        <f>Production!B14*3+Production!C14++Production!D14+Production!E14+Production!F14+Production!G14</f>
        <v>781.80733830339045</v>
      </c>
      <c r="J12" s="181">
        <f>Production!B14*2+Production!C14++Production!D14+Production!E14+Production!F14+Production!G14+Production!H14</f>
        <v>790.68444837794118</v>
      </c>
      <c r="K12" s="181">
        <f>SUM(Production!B14:I14)</f>
        <v>801.11971510361025</v>
      </c>
      <c r="L12" s="181">
        <f>SUM(Production!C14:J14)</f>
        <v>813.1365108301643</v>
      </c>
      <c r="M12" s="181">
        <f>SUM(Production!D14:K14)</f>
        <v>825.33355849261659</v>
      </c>
      <c r="N12" s="181">
        <f>SUM(Production!E14:L14)</f>
        <v>837.71356187000583</v>
      </c>
      <c r="O12" s="181">
        <f>SUM(Production!F14:M14)</f>
        <v>850.27926529805575</v>
      </c>
      <c r="P12" s="181">
        <f>SUM(Production!G14:N14)</f>
        <v>863.03345427752652</v>
      </c>
      <c r="Q12" s="181">
        <f>SUM(Production!H14:O14)</f>
        <v>875.97895609168927</v>
      </c>
      <c r="R12" s="181">
        <f>SUM(Production!I14:P14)</f>
        <v>889.11864043306457</v>
      </c>
      <c r="S12" s="181">
        <f>SUM(Production!J14:Q14)</f>
        <v>902.45542003956052</v>
      </c>
      <c r="T12" s="181">
        <f>SUM(Production!K14:R14)</f>
        <v>915.99225134015387</v>
      </c>
      <c r="U12" s="181">
        <f>SUM(Production!L14:S14)</f>
        <v>929.73213511025608</v>
      </c>
      <c r="V12" s="181">
        <f>SUM(Production!M14:T14)</f>
        <v>943.67811713690992</v>
      </c>
      <c r="W12" s="181">
        <f>SUM(Production!N14:U14)</f>
        <v>957.83328889396353</v>
      </c>
      <c r="X12" s="181">
        <f>SUM(Production!O14:V14)</f>
        <v>972.20078822737287</v>
      </c>
      <c r="Y12" s="101">
        <v>100</v>
      </c>
      <c r="Z12" s="101">
        <v>0.38</v>
      </c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</row>
    <row r="13" spans="1:47" x14ac:dyDescent="0.3">
      <c r="A13" s="101" t="s">
        <v>219</v>
      </c>
      <c r="B13" s="178"/>
      <c r="C13" s="178"/>
      <c r="D13" s="181">
        <f>Production!B15*8</f>
        <v>400</v>
      </c>
      <c r="E13" s="181">
        <f>Production!B15*7+Production!C15</f>
        <v>400.75</v>
      </c>
      <c r="F13" s="181">
        <f>Production!B15*6+Production!C15+Production!D15</f>
        <v>402.26125000000002</v>
      </c>
      <c r="G13" s="181">
        <f>Production!B15*5+Production!C15++Production!D15+Production!E15</f>
        <v>404.54516875000002</v>
      </c>
      <c r="H13" s="181">
        <f>Production!B15*4+Production!C15++Production!D15+Production!E15+Production!F15</f>
        <v>407.61334628124996</v>
      </c>
      <c r="I13" s="181">
        <f>Production!B15*3+Production!C15++Production!D15+Production!E15+Production!F15+Production!G15</f>
        <v>411.47754647546867</v>
      </c>
      <c r="J13" s="181">
        <f>Production!B15*2+Production!C15++Production!D15+Production!E15+Production!F15+Production!G15+Production!H15</f>
        <v>416.14970967260069</v>
      </c>
      <c r="K13" s="181">
        <f>SUM(Production!B15:I15)</f>
        <v>421.64195531768968</v>
      </c>
      <c r="L13" s="181">
        <f>SUM(Production!C15:J15)</f>
        <v>427.96658464745497</v>
      </c>
      <c r="M13" s="181">
        <f>SUM(Production!D15:K15)</f>
        <v>434.38608341716667</v>
      </c>
      <c r="N13" s="181">
        <f>SUM(Production!E15:L15)</f>
        <v>440.90187466842411</v>
      </c>
      <c r="O13" s="181">
        <f>SUM(Production!F15:M15)</f>
        <v>447.5154027884505</v>
      </c>
      <c r="P13" s="181">
        <f>SUM(Production!G15:N15)</f>
        <v>454.2281338302771</v>
      </c>
      <c r="Q13" s="181">
        <f>SUM(Production!H15:O15)</f>
        <v>461.04155583773121</v>
      </c>
      <c r="R13" s="181">
        <f>SUM(Production!I15:P15)</f>
        <v>467.95717917529714</v>
      </c>
      <c r="S13" s="181">
        <f>SUM(Production!J15:Q15)</f>
        <v>474.97653686292659</v>
      </c>
      <c r="T13" s="181">
        <f>SUM(Production!K15:R15)</f>
        <v>482.10118491587053</v>
      </c>
      <c r="U13" s="181">
        <f>SUM(Production!L15:S15)</f>
        <v>489.33270268960848</v>
      </c>
      <c r="V13" s="181">
        <f>SUM(Production!M15:T15)</f>
        <v>496.67269322995253</v>
      </c>
      <c r="W13" s="181">
        <f>SUM(Production!N15:U15)</f>
        <v>504.12278362840186</v>
      </c>
      <c r="X13" s="181">
        <f>SUM(Production!O15:V15)</f>
        <v>511.6846253828279</v>
      </c>
      <c r="Y13" s="101">
        <v>102</v>
      </c>
      <c r="Z13" s="101">
        <v>0.2</v>
      </c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</row>
    <row r="14" spans="1:47" x14ac:dyDescent="0.3">
      <c r="A14" s="101" t="s">
        <v>71</v>
      </c>
      <c r="B14" s="178"/>
      <c r="C14" s="178"/>
      <c r="D14" s="181">
        <f>Production!B16*8</f>
        <v>600</v>
      </c>
      <c r="E14" s="181">
        <f>Production!B16*7+Production!C16</f>
        <v>601.125</v>
      </c>
      <c r="F14" s="181">
        <f>Production!B16*6+Production!C16+Production!D16</f>
        <v>603.39187500000003</v>
      </c>
      <c r="G14" s="181">
        <f>Production!B16*5+Production!C16++Production!D16+Production!E16</f>
        <v>606.81775312499997</v>
      </c>
      <c r="H14" s="181">
        <f>Production!B16*4+Production!C16++Production!D16+Production!E16+Production!F16</f>
        <v>611.42001942187494</v>
      </c>
      <c r="I14" s="181">
        <f>Production!B16*3+Production!C16++Production!D16+Production!E16+Production!F16+Production!G16</f>
        <v>617.21631971320289</v>
      </c>
      <c r="J14" s="181">
        <f>Production!B16*2+Production!C16++Production!D16+Production!E16+Production!F16+Production!G16+Production!H16</f>
        <v>624.22456450890081</v>
      </c>
      <c r="K14" s="181">
        <f>SUM(Production!B16:I16)</f>
        <v>632.46293297653426</v>
      </c>
      <c r="L14" s="181">
        <f>SUM(Production!C16:J16)</f>
        <v>641.94987697118222</v>
      </c>
      <c r="M14" s="181">
        <f>SUM(Production!D16:K16)</f>
        <v>651.5791251257499</v>
      </c>
      <c r="N14" s="181">
        <f>SUM(Production!E16:L16)</f>
        <v>661.35281200263614</v>
      </c>
      <c r="O14" s="181">
        <f>SUM(Production!F16:M16)</f>
        <v>671.27310418267564</v>
      </c>
      <c r="P14" s="181">
        <f>SUM(Production!G16:N16)</f>
        <v>681.34220074541565</v>
      </c>
      <c r="Q14" s="181">
        <f>SUM(Production!H16:O16)</f>
        <v>691.56233375659679</v>
      </c>
      <c r="R14" s="181">
        <f>SUM(Production!I16:P16)</f>
        <v>701.9357687629456</v>
      </c>
      <c r="S14" s="181">
        <f>SUM(Production!J16:Q16)</f>
        <v>712.46480529438986</v>
      </c>
      <c r="T14" s="181">
        <f>SUM(Production!K16:R16)</f>
        <v>723.15177737380577</v>
      </c>
      <c r="U14" s="181">
        <f>SUM(Production!L16:S16)</f>
        <v>733.99905403441278</v>
      </c>
      <c r="V14" s="181">
        <f>SUM(Production!M16:T16)</f>
        <v>745.00903984492891</v>
      </c>
      <c r="W14" s="181">
        <f>SUM(Production!N16:U16)</f>
        <v>756.18417544260274</v>
      </c>
      <c r="X14" s="181">
        <f>SUM(Production!O16:V16)</f>
        <v>767.52693807424168</v>
      </c>
      <c r="Y14" s="101">
        <v>65</v>
      </c>
      <c r="Z14" s="101">
        <v>0.3</v>
      </c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</row>
    <row r="15" spans="1:47" x14ac:dyDescent="0.3">
      <c r="A15" s="101" t="s">
        <v>72</v>
      </c>
      <c r="B15" s="178"/>
      <c r="C15" s="178"/>
      <c r="D15" s="181">
        <f>Production!B17*8</f>
        <v>700</v>
      </c>
      <c r="E15" s="181">
        <f>Production!B17*7+Production!C17</f>
        <v>701.3125</v>
      </c>
      <c r="F15" s="181">
        <f>Production!B17*6+Production!C17+Production!D17</f>
        <v>703.95718749999992</v>
      </c>
      <c r="G15" s="181">
        <f>Production!B17*5+Production!C17++Production!D17+Production!E17</f>
        <v>707.95404531249983</v>
      </c>
      <c r="H15" s="181">
        <f>Production!B17*4+Production!C17++Production!D17+Production!E17+Production!F17</f>
        <v>713.32335599218732</v>
      </c>
      <c r="I15" s="181">
        <f>Production!B17*3+Production!C17++Production!D17+Production!E17+Production!F17+Production!G17</f>
        <v>720.08570633207</v>
      </c>
      <c r="J15" s="181">
        <f>Production!B17*2+Production!C17++Production!D17+Production!E17+Production!F17+Production!G17+Production!H17</f>
        <v>728.26199192705099</v>
      </c>
      <c r="K15" s="181">
        <f>SUM(Production!B17:I17)</f>
        <v>737.87342180595681</v>
      </c>
      <c r="L15" s="181">
        <f>SUM(Production!C17:J17)</f>
        <v>748.94152313304596</v>
      </c>
      <c r="M15" s="181">
        <f>SUM(Production!D17:K17)</f>
        <v>760.17564598004151</v>
      </c>
      <c r="N15" s="181">
        <f>SUM(Production!E17:L17)</f>
        <v>771.57828066974207</v>
      </c>
      <c r="O15" s="181">
        <f>SUM(Production!F17:M17)</f>
        <v>783.15195487978815</v>
      </c>
      <c r="P15" s="181">
        <f>SUM(Production!G17:N17)</f>
        <v>794.89923420298499</v>
      </c>
      <c r="Q15" s="181">
        <f>SUM(Production!H17:O17)</f>
        <v>806.8227227160296</v>
      </c>
      <c r="R15" s="181">
        <f>SUM(Production!I17:P17)</f>
        <v>818.92506355676994</v>
      </c>
      <c r="S15" s="181">
        <f>SUM(Production!J17:Q17)</f>
        <v>831.20893951012135</v>
      </c>
      <c r="T15" s="181">
        <f>SUM(Production!K17:R17)</f>
        <v>843.67707360277313</v>
      </c>
      <c r="U15" s="181">
        <f>SUM(Production!L17:S17)</f>
        <v>856.3322297068147</v>
      </c>
      <c r="V15" s="181">
        <f>SUM(Production!M17:T17)</f>
        <v>869.17721315241693</v>
      </c>
      <c r="W15" s="181">
        <f>SUM(Production!N17:U17)</f>
        <v>882.21487134970312</v>
      </c>
      <c r="X15" s="181">
        <f>SUM(Production!O17:V17)</f>
        <v>895.44809441994869</v>
      </c>
      <c r="Y15" s="101">
        <v>28</v>
      </c>
      <c r="Z15" s="101">
        <v>0.35</v>
      </c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</row>
    <row r="17" spans="1:25" x14ac:dyDescent="0.3">
      <c r="B17" s="105" t="s">
        <v>9</v>
      </c>
    </row>
    <row r="18" spans="1:25" x14ac:dyDescent="0.3">
      <c r="A18" s="101" t="s">
        <v>1</v>
      </c>
      <c r="D18" s="178">
        <f>D3*$Y3/1000</f>
        <v>96.36</v>
      </c>
      <c r="E18" s="178">
        <f>E3*$Y3/1000*AB3</f>
        <v>91.96</v>
      </c>
      <c r="F18" s="178">
        <f t="shared" ref="F18:X18" si="3">F3*$Y3/1000*AC3</f>
        <v>88.354749999999996</v>
      </c>
      <c r="G18" s="178">
        <f t="shared" si="3"/>
        <v>84.310485049999983</v>
      </c>
      <c r="H18" s="178">
        <f t="shared" si="3"/>
        <v>79.561042176549989</v>
      </c>
      <c r="I18" s="178">
        <f t="shared" si="3"/>
        <v>74.071330266368051</v>
      </c>
      <c r="J18" s="178">
        <f t="shared" si="3"/>
        <v>68.960408477988636</v>
      </c>
      <c r="K18" s="178">
        <f t="shared" si="3"/>
        <v>64.202140293007403</v>
      </c>
      <c r="L18" s="178">
        <f t="shared" si="3"/>
        <v>59.772192612789894</v>
      </c>
      <c r="M18" s="178">
        <f t="shared" si="3"/>
        <v>55.647911322507383</v>
      </c>
      <c r="N18" s="178">
        <f t="shared" si="3"/>
        <v>51.808205441254366</v>
      </c>
      <c r="O18" s="178">
        <f t="shared" si="3"/>
        <v>48.23343926580781</v>
      </c>
      <c r="P18" s="178">
        <f t="shared" si="3"/>
        <v>44.905331956467066</v>
      </c>
      <c r="Q18" s="178">
        <f t="shared" si="3"/>
        <v>41.806864051470853</v>
      </c>
      <c r="R18" s="178">
        <f t="shared" si="3"/>
        <v>38.922190431919361</v>
      </c>
      <c r="S18" s="178">
        <f t="shared" si="3"/>
        <v>36.236559292116929</v>
      </c>
      <c r="T18" s="178">
        <f t="shared" si="3"/>
        <v>33.736236700960859</v>
      </c>
      <c r="U18" s="178">
        <f t="shared" si="3"/>
        <v>31.408436368594558</v>
      </c>
      <c r="V18" s="178">
        <f t="shared" si="3"/>
        <v>29.241254259161533</v>
      </c>
      <c r="W18" s="178">
        <f t="shared" si="3"/>
        <v>27.223607715279392</v>
      </c>
      <c r="X18" s="178">
        <f t="shared" si="3"/>
        <v>25.34517878292511</v>
      </c>
      <c r="Y18" s="182"/>
    </row>
    <row r="19" spans="1:25" x14ac:dyDescent="0.3">
      <c r="A19" s="101" t="s">
        <v>2</v>
      </c>
      <c r="D19" s="178">
        <f>D4*$Y4/1000</f>
        <v>47.142000000000003</v>
      </c>
      <c r="E19" s="178">
        <f>E4*$Y4/1000*AB3</f>
        <v>45.061349999999997</v>
      </c>
      <c r="F19" s="178">
        <f t="shared" ref="F19:W19" si="4">F4*$Y4/1000*AC3</f>
        <v>43.421080000000003</v>
      </c>
      <c r="G19" s="178">
        <f t="shared" si="4"/>
        <v>41.551084657499999</v>
      </c>
      <c r="H19" s="178">
        <f t="shared" si="4"/>
        <v>39.260811691757496</v>
      </c>
      <c r="I19" s="178">
        <f t="shared" si="4"/>
        <v>36.551815685026227</v>
      </c>
      <c r="J19" s="178">
        <f t="shared" si="4"/>
        <v>34.029740402759423</v>
      </c>
      <c r="K19" s="178">
        <f t="shared" si="4"/>
        <v>31.681688314969016</v>
      </c>
      <c r="L19" s="178">
        <f t="shared" si="4"/>
        <v>29.495651821236152</v>
      </c>
      <c r="M19" s="178">
        <f t="shared" si="4"/>
        <v>27.460451845570859</v>
      </c>
      <c r="N19" s="178">
        <f t="shared" si="4"/>
        <v>25.565680668226467</v>
      </c>
      <c r="O19" s="178">
        <f t="shared" si="4"/>
        <v>23.801648702118836</v>
      </c>
      <c r="P19" s="178">
        <f t="shared" si="4"/>
        <v>22.159334941672633</v>
      </c>
      <c r="Q19" s="178">
        <f t="shared" si="4"/>
        <v>20.630340830697214</v>
      </c>
      <c r="R19" s="178">
        <f t="shared" si="4"/>
        <v>19.206847313379107</v>
      </c>
      <c r="S19" s="178">
        <f t="shared" si="4"/>
        <v>17.881574848755942</v>
      </c>
      <c r="T19" s="178">
        <f t="shared" si="4"/>
        <v>16.647746184191778</v>
      </c>
      <c r="U19" s="178">
        <f t="shared" si="4"/>
        <v>15.499051697482544</v>
      </c>
      <c r="V19" s="178">
        <f t="shared" si="4"/>
        <v>14.429617130356247</v>
      </c>
      <c r="W19" s="178">
        <f t="shared" si="4"/>
        <v>13.433973548361665</v>
      </c>
      <c r="X19" s="178">
        <f>X4*$Y4/1000*AU3</f>
        <v>12.507029373524709</v>
      </c>
      <c r="Y19" s="182"/>
    </row>
    <row r="20" spans="1:25" x14ac:dyDescent="0.3">
      <c r="A20" s="101" t="s">
        <v>3</v>
      </c>
      <c r="D20" s="178">
        <f>D5*$Y5/1000</f>
        <v>48.24</v>
      </c>
      <c r="E20" s="178">
        <f>E5*$Y5/1000*AB3</f>
        <v>46.891999999999996</v>
      </c>
      <c r="F20" s="178">
        <f t="shared" ref="F20:X20" si="5">F5*$Y5/1000*AC3</f>
        <v>47.796399999999998</v>
      </c>
      <c r="G20" s="178">
        <f t="shared" si="5"/>
        <v>51.099549999999994</v>
      </c>
      <c r="H20" s="178">
        <f t="shared" si="5"/>
        <v>56.168350999999987</v>
      </c>
      <c r="I20" s="178">
        <f t="shared" si="5"/>
        <v>61.902474999999988</v>
      </c>
      <c r="J20" s="178">
        <f t="shared" si="5"/>
        <v>68.157720098749977</v>
      </c>
      <c r="K20" s="178">
        <f t="shared" si="5"/>
        <v>74.753661347292123</v>
      </c>
      <c r="L20" s="178">
        <f t="shared" si="5"/>
        <v>81.927287442728883</v>
      </c>
      <c r="M20" s="178">
        <f t="shared" si="5"/>
        <v>89.789320104876154</v>
      </c>
      <c r="N20" s="178">
        <f t="shared" si="5"/>
        <v>98.405821265982098</v>
      </c>
      <c r="O20" s="178">
        <f t="shared" si="5"/>
        <v>96.650098102343932</v>
      </c>
      <c r="P20" s="178">
        <f t="shared" si="5"/>
        <v>86.348966994618664</v>
      </c>
      <c r="Q20" s="178">
        <f t="shared" si="5"/>
        <v>68.906475661705684</v>
      </c>
      <c r="R20" s="178">
        <f t="shared" si="5"/>
        <v>54.987367578041109</v>
      </c>
      <c r="S20" s="178">
        <f t="shared" si="5"/>
        <v>43.879919327276788</v>
      </c>
      <c r="T20" s="178">
        <f t="shared" si="5"/>
        <v>35.016175623166866</v>
      </c>
      <c r="U20" s="178">
        <f t="shared" si="5"/>
        <v>27.942908147287152</v>
      </c>
      <c r="V20" s="178">
        <f t="shared" si="5"/>
        <v>22.298440701535139</v>
      </c>
      <c r="W20" s="178">
        <f t="shared" si="5"/>
        <v>17.794155679825039</v>
      </c>
      <c r="X20" s="178">
        <f t="shared" si="5"/>
        <v>14.199736232500378</v>
      </c>
      <c r="Y20" s="182"/>
    </row>
    <row r="21" spans="1:25" x14ac:dyDescent="0.3">
      <c r="A21" s="101" t="s">
        <v>4</v>
      </c>
      <c r="D21" s="180">
        <f>D6*$Y$6/1000</f>
        <v>1.75</v>
      </c>
      <c r="E21" s="178">
        <f>E6*$Y$6/1000*AB3</f>
        <v>2.1849999999999996</v>
      </c>
      <c r="F21" s="178">
        <f t="shared" ref="F21:W21" si="6">F6*$Y$6/1000*AC3</f>
        <v>3.1587499999999999</v>
      </c>
      <c r="G21" s="178">
        <f t="shared" si="6"/>
        <v>3.8581874999999997</v>
      </c>
      <c r="H21" s="178">
        <f t="shared" si="6"/>
        <v>4.7852242187499989</v>
      </c>
      <c r="I21" s="178">
        <f t="shared" si="6"/>
        <v>5.3777775156249996</v>
      </c>
      <c r="J21" s="178">
        <f t="shared" si="6"/>
        <v>5.3643330718359366</v>
      </c>
      <c r="K21" s="178">
        <f t="shared" si="6"/>
        <v>5.350922239156346</v>
      </c>
      <c r="L21" s="178">
        <f t="shared" si="6"/>
        <v>5.3375449335584548</v>
      </c>
      <c r="M21" s="178">
        <f t="shared" si="6"/>
        <v>5.3242010712245582</v>
      </c>
      <c r="N21" s="178">
        <f t="shared" si="6"/>
        <v>5.3108905685464967</v>
      </c>
      <c r="O21" s="178">
        <f t="shared" si="6"/>
        <v>5.045256818492196</v>
      </c>
      <c r="P21" s="178">
        <f t="shared" si="6"/>
        <v>4.7929939775675861</v>
      </c>
      <c r="Q21" s="178">
        <f t="shared" si="6"/>
        <v>4.553344278689206</v>
      </c>
      <c r="R21" s="178">
        <f t="shared" si="6"/>
        <v>4.3256770647547453</v>
      </c>
      <c r="S21" s="312">
        <f>S6*$Y$6/1000*AP3</f>
        <v>4.1093932115170082</v>
      </c>
      <c r="T21" s="178">
        <f t="shared" si="6"/>
        <v>3.9039235509411574</v>
      </c>
      <c r="U21" s="178">
        <f t="shared" si="6"/>
        <v>3.7087273733940993</v>
      </c>
      <c r="V21" s="178">
        <f t="shared" si="6"/>
        <v>3.5232910047243942</v>
      </c>
      <c r="W21" s="178">
        <f t="shared" si="6"/>
        <v>3.347126454488174</v>
      </c>
      <c r="X21" s="178">
        <f>X6*$Y$6/1000*AU3</f>
        <v>3.1797701317637652</v>
      </c>
      <c r="Y21" s="182"/>
    </row>
    <row r="22" spans="1:25" x14ac:dyDescent="0.3">
      <c r="A22" s="101" t="s">
        <v>5</v>
      </c>
      <c r="D22" s="180">
        <f>D7*$Y$7/1000</f>
        <v>0.75</v>
      </c>
      <c r="E22" s="178">
        <f>E7*$Y$7/1000*AB3</f>
        <v>1.4249999999999998</v>
      </c>
      <c r="F22" s="178">
        <f t="shared" ref="F22:W22" si="7">F7*$Y$7/1000*AC3</f>
        <v>2.0306250000000001</v>
      </c>
      <c r="G22" s="178">
        <f t="shared" si="7"/>
        <v>2.6621493749999998</v>
      </c>
      <c r="H22" s="178">
        <f t="shared" si="7"/>
        <v>3.1277039999999996</v>
      </c>
      <c r="I22" s="178">
        <f t="shared" si="7"/>
        <v>3.7257552140624997</v>
      </c>
      <c r="J22" s="178">
        <f t="shared" si="7"/>
        <v>4.0703875713632804</v>
      </c>
      <c r="K22" s="178">
        <f t="shared" si="7"/>
        <v>4.4468984217143817</v>
      </c>
      <c r="L22" s="178">
        <f t="shared" si="7"/>
        <v>4.8582365257229627</v>
      </c>
      <c r="M22" s="178">
        <f t="shared" si="7"/>
        <v>5.3076234043523352</v>
      </c>
      <c r="N22" s="178">
        <f t="shared" si="7"/>
        <v>5.0383713436909554</v>
      </c>
      <c r="O22" s="178">
        <f t="shared" si="7"/>
        <v>4.7864527765064064</v>
      </c>
      <c r="P22" s="178">
        <f t="shared" si="7"/>
        <v>4.5471301376810862</v>
      </c>
      <c r="Q22" s="178">
        <f t="shared" si="7"/>
        <v>4.319773630797032</v>
      </c>
      <c r="R22" s="178">
        <f t="shared" si="7"/>
        <v>4.1037849492571796</v>
      </c>
      <c r="S22" s="178">
        <f t="shared" si="7"/>
        <v>3.8985957017943207</v>
      </c>
      <c r="T22" s="178">
        <f t="shared" si="7"/>
        <v>3.7036659167046042</v>
      </c>
      <c r="U22" s="178">
        <f t="shared" si="7"/>
        <v>3.5184826208693738</v>
      </c>
      <c r="V22" s="178">
        <f t="shared" si="7"/>
        <v>3.3425584898259046</v>
      </c>
      <c r="W22" s="178">
        <f t="shared" si="7"/>
        <v>3.1754305653346093</v>
      </c>
      <c r="X22" s="178">
        <f>X7*$Y$7/1000*AU3</f>
        <v>3.0166590370678787</v>
      </c>
      <c r="Y22" s="182"/>
    </row>
    <row r="23" spans="1:25" x14ac:dyDescent="0.3">
      <c r="A23" s="49" t="s">
        <v>40</v>
      </c>
      <c r="D23" s="178">
        <f>D8*$Y$8/1000</f>
        <v>1.25</v>
      </c>
      <c r="E23" s="178">
        <f>E8*$Y$8/1000*AB3</f>
        <v>1.1969999999999998</v>
      </c>
      <c r="F23" s="178">
        <f t="shared" ref="F23:X23" si="8">F8*$Y$8/1000*AC3</f>
        <v>0.94762500000000005</v>
      </c>
      <c r="G23" s="178">
        <f t="shared" si="8"/>
        <v>0.77678174999999994</v>
      </c>
      <c r="H23" s="178">
        <f t="shared" si="8"/>
        <v>0.4830022062499999</v>
      </c>
      <c r="I23" s="178">
        <f t="shared" si="8"/>
        <v>0.59116863624999993</v>
      </c>
      <c r="J23" s="178">
        <f t="shared" si="8"/>
        <v>0.53352969421562491</v>
      </c>
      <c r="K23" s="178">
        <f t="shared" si="8"/>
        <v>0.48151054902960128</v>
      </c>
      <c r="L23" s="178">
        <f t="shared" si="8"/>
        <v>0.43456327049921517</v>
      </c>
      <c r="M23" s="178">
        <f t="shared" si="8"/>
        <v>0.39219335162554153</v>
      </c>
      <c r="N23" s="178">
        <f t="shared" si="8"/>
        <v>0.35395449984205118</v>
      </c>
      <c r="O23" s="178">
        <f t="shared" si="8"/>
        <v>0.3194439361074512</v>
      </c>
      <c r="P23" s="178">
        <f t="shared" si="8"/>
        <v>0.2882981523369747</v>
      </c>
      <c r="Q23" s="178">
        <f t="shared" si="8"/>
        <v>0.26018908248411959</v>
      </c>
      <c r="R23" s="178">
        <f t="shared" si="8"/>
        <v>0.2348206469419179</v>
      </c>
      <c r="S23" s="178">
        <f t="shared" si="8"/>
        <v>0.2119256338650809</v>
      </c>
      <c r="T23" s="178">
        <f t="shared" si="8"/>
        <v>0.19126288456323551</v>
      </c>
      <c r="U23" s="178">
        <f t="shared" si="8"/>
        <v>0.17261475331832002</v>
      </c>
      <c r="V23" s="178">
        <f t="shared" si="8"/>
        <v>0.15578481486978377</v>
      </c>
      <c r="W23" s="178">
        <f t="shared" si="8"/>
        <v>0.14059579541997985</v>
      </c>
      <c r="X23" s="178">
        <f t="shared" si="8"/>
        <v>0.12688770536653179</v>
      </c>
      <c r="Y23" s="182"/>
    </row>
    <row r="24" spans="1:25" x14ac:dyDescent="0.3">
      <c r="A24" s="49" t="s">
        <v>62</v>
      </c>
      <c r="D24" s="178">
        <f>D9*$Y$9/1000</f>
        <v>0</v>
      </c>
      <c r="E24" s="178">
        <f>E9*$Y$9/1000</f>
        <v>0</v>
      </c>
      <c r="F24" s="178">
        <f t="shared" ref="F24:X24" si="9">F9*$Y$9/1000*AC3</f>
        <v>9.0249999999999997E-2</v>
      </c>
      <c r="G24" s="178">
        <f t="shared" si="9"/>
        <v>0.42868749999999994</v>
      </c>
      <c r="H24" s="178">
        <f t="shared" si="9"/>
        <v>0.81450624999999988</v>
      </c>
      <c r="I24" s="178">
        <f t="shared" si="9"/>
        <v>1.109086010416664</v>
      </c>
      <c r="J24" s="178">
        <f t="shared" si="9"/>
        <v>1.3844230606770804</v>
      </c>
      <c r="K24" s="178">
        <f t="shared" si="9"/>
        <v>1.6294536908854136</v>
      </c>
      <c r="L24" s="178">
        <f t="shared" si="9"/>
        <v>1.8465202004212209</v>
      </c>
      <c r="M24" s="178">
        <f t="shared" si="9"/>
        <v>2.037806424776234</v>
      </c>
      <c r="N24" s="178">
        <f t="shared" si="9"/>
        <v>2.2053477261946925</v>
      </c>
      <c r="O24" s="178">
        <f t="shared" si="9"/>
        <v>2.4302931942665502</v>
      </c>
      <c r="P24" s="178">
        <f t="shared" si="9"/>
        <v>2.6781831000817382</v>
      </c>
      <c r="Q24" s="178">
        <f t="shared" si="9"/>
        <v>2.9513577762900751</v>
      </c>
      <c r="R24" s="178">
        <f t="shared" si="9"/>
        <v>3.2523962694716624</v>
      </c>
      <c r="S24" s="178">
        <f t="shared" si="9"/>
        <v>3.5841406889577718</v>
      </c>
      <c r="T24" s="178">
        <f t="shared" si="9"/>
        <v>3.949723039231464</v>
      </c>
      <c r="U24" s="178">
        <f t="shared" si="9"/>
        <v>4.3525947892330716</v>
      </c>
      <c r="V24" s="178">
        <f t="shared" si="9"/>
        <v>4.796559457734844</v>
      </c>
      <c r="W24" s="178">
        <f t="shared" si="9"/>
        <v>5.2858085224237978</v>
      </c>
      <c r="X24" s="178">
        <f t="shared" si="9"/>
        <v>5.8249609917110243</v>
      </c>
      <c r="Y24" s="182"/>
    </row>
    <row r="25" spans="1:25" x14ac:dyDescent="0.3">
      <c r="D25" s="183">
        <f>SUM(D18:D24)</f>
        <v>195.49200000000002</v>
      </c>
      <c r="E25" s="183">
        <f>SUM(E18:E24)</f>
        <v>188.72035</v>
      </c>
      <c r="F25" s="183">
        <f t="shared" ref="F25:X25" si="10">SUM(F18:F24)</f>
        <v>185.79947999999996</v>
      </c>
      <c r="G25" s="183">
        <f t="shared" si="10"/>
        <v>184.68692583249995</v>
      </c>
      <c r="H25" s="183">
        <f t="shared" si="10"/>
        <v>184.20064154330746</v>
      </c>
      <c r="I25" s="183">
        <f t="shared" si="10"/>
        <v>183.32940832774844</v>
      </c>
      <c r="J25" s="183">
        <f t="shared" si="10"/>
        <v>182.50054237758994</v>
      </c>
      <c r="K25" s="183">
        <f t="shared" si="10"/>
        <v>182.54627485605431</v>
      </c>
      <c r="L25" s="183">
        <f t="shared" si="10"/>
        <v>183.6719968069568</v>
      </c>
      <c r="M25" s="183">
        <f t="shared" si="10"/>
        <v>185.95950752493306</v>
      </c>
      <c r="N25" s="183">
        <f t="shared" si="10"/>
        <v>188.68827151373711</v>
      </c>
      <c r="O25" s="183">
        <f t="shared" si="10"/>
        <v>181.26663279564315</v>
      </c>
      <c r="P25" s="183">
        <f t="shared" si="10"/>
        <v>165.72023926042573</v>
      </c>
      <c r="Q25" s="183">
        <f t="shared" si="10"/>
        <v>143.42834531213418</v>
      </c>
      <c r="R25" s="183">
        <f t="shared" si="10"/>
        <v>125.03308425376507</v>
      </c>
      <c r="S25" s="183">
        <f t="shared" si="10"/>
        <v>109.80210870428384</v>
      </c>
      <c r="T25" s="183">
        <f t="shared" si="10"/>
        <v>97.148733899759947</v>
      </c>
      <c r="U25" s="183">
        <f t="shared" si="10"/>
        <v>86.602815750179104</v>
      </c>
      <c r="V25" s="183">
        <f t="shared" si="10"/>
        <v>77.787505858207851</v>
      </c>
      <c r="W25" s="183">
        <f t="shared" si="10"/>
        <v>70.400698281132662</v>
      </c>
      <c r="X25" s="183">
        <f t="shared" si="10"/>
        <v>64.200222254859412</v>
      </c>
      <c r="Y25" s="182"/>
    </row>
    <row r="26" spans="1:25" x14ac:dyDescent="0.3">
      <c r="A26" s="101" t="s">
        <v>6</v>
      </c>
      <c r="D26" s="178">
        <f>D11*$Y$11/1000</f>
        <v>400</v>
      </c>
      <c r="E26" s="178">
        <f t="shared" ref="E26:X26" si="11">E11*$Y$11/1000*AB3</f>
        <v>380.71249999999998</v>
      </c>
      <c r="F26" s="178">
        <f t="shared" si="11"/>
        <v>363.04077812500003</v>
      </c>
      <c r="G26" s="178">
        <f t="shared" si="11"/>
        <v>346.84691405703114</v>
      </c>
      <c r="H26" s="178">
        <f t="shared" si="11"/>
        <v>332.00361812949228</v>
      </c>
      <c r="I26" s="178">
        <f t="shared" si="11"/>
        <v>318.3934816719879</v>
      </c>
      <c r="J26" s="178">
        <f t="shared" si="11"/>
        <v>305.90827686627676</v>
      </c>
      <c r="K26" s="178">
        <f t="shared" si="11"/>
        <v>294.44830299623698</v>
      </c>
      <c r="L26" s="178">
        <f t="shared" si="11"/>
        <v>283.92177616412152</v>
      </c>
      <c r="M26" s="178">
        <f t="shared" si="11"/>
        <v>273.77157266625409</v>
      </c>
      <c r="N26" s="178">
        <f t="shared" si="11"/>
        <v>263.9842389434354</v>
      </c>
      <c r="O26" s="178">
        <f t="shared" si="11"/>
        <v>254.54680240120749</v>
      </c>
      <c r="P26" s="178">
        <f t="shared" si="11"/>
        <v>245.44675421536434</v>
      </c>
      <c r="Q26" s="178">
        <f t="shared" si="11"/>
        <v>236.67203275216499</v>
      </c>
      <c r="R26" s="178">
        <f t="shared" si="11"/>
        <v>228.21100758127511</v>
      </c>
      <c r="S26" s="178">
        <f t="shared" si="11"/>
        <v>220.05246406024449</v>
      </c>
      <c r="T26" s="178">
        <f t="shared" si="11"/>
        <v>212.18558847009072</v>
      </c>
      <c r="U26" s="178">
        <f t="shared" si="11"/>
        <v>204.59995368228496</v>
      </c>
      <c r="V26" s="178">
        <f t="shared" si="11"/>
        <v>197.28550533814322</v>
      </c>
      <c r="W26" s="178">
        <f t="shared" si="11"/>
        <v>190.23254852230457</v>
      </c>
      <c r="X26" s="178">
        <f t="shared" si="11"/>
        <v>183.43173491263218</v>
      </c>
    </row>
    <row r="27" spans="1:25" x14ac:dyDescent="0.3">
      <c r="A27" s="101" t="s">
        <v>7</v>
      </c>
      <c r="D27" s="178">
        <f>D12*$Y$12/1000</f>
        <v>76</v>
      </c>
      <c r="E27" s="178">
        <f>E12*$Y$12/1000*AB3</f>
        <v>72.335374999999999</v>
      </c>
      <c r="F27" s="178">
        <f t="shared" ref="F27:X27" si="12">F12*$Y$12/1000*AC3</f>
        <v>68.977747843749981</v>
      </c>
      <c r="G27" s="178">
        <f t="shared" si="12"/>
        <v>65.900913670835919</v>
      </c>
      <c r="H27" s="178">
        <f t="shared" si="12"/>
        <v>63.080687444603534</v>
      </c>
      <c r="I27" s="178">
        <f t="shared" si="12"/>
        <v>60.494761517677695</v>
      </c>
      <c r="J27" s="178">
        <f t="shared" si="12"/>
        <v>58.122572604592584</v>
      </c>
      <c r="K27" s="178">
        <f t="shared" si="12"/>
        <v>55.945177569285022</v>
      </c>
      <c r="L27" s="178">
        <f t="shared" si="12"/>
        <v>53.945137471183088</v>
      </c>
      <c r="M27" s="178">
        <f t="shared" si="12"/>
        <v>52.01659880658827</v>
      </c>
      <c r="N27" s="178">
        <f t="shared" si="12"/>
        <v>50.157005399252732</v>
      </c>
      <c r="O27" s="178">
        <f t="shared" si="12"/>
        <v>48.363892456229429</v>
      </c>
      <c r="P27" s="178">
        <f t="shared" si="12"/>
        <v>46.634883300919221</v>
      </c>
      <c r="Q27" s="178">
        <f t="shared" si="12"/>
        <v>44.967686222911354</v>
      </c>
      <c r="R27" s="178">
        <f t="shared" si="12"/>
        <v>43.360091440442268</v>
      </c>
      <c r="S27" s="178">
        <f t="shared" si="12"/>
        <v>41.809968171446457</v>
      </c>
      <c r="T27" s="178">
        <f t="shared" si="12"/>
        <v>40.315261809317235</v>
      </c>
      <c r="U27" s="178">
        <f t="shared" si="12"/>
        <v>38.873991199634141</v>
      </c>
      <c r="V27" s="178">
        <f t="shared" si="12"/>
        <v>37.484246014247212</v>
      </c>
      <c r="W27" s="178">
        <f t="shared" si="12"/>
        <v>36.144184219237872</v>
      </c>
      <c r="X27" s="178">
        <f t="shared" si="12"/>
        <v>34.852029633400107</v>
      </c>
    </row>
    <row r="28" spans="1:25" x14ac:dyDescent="0.3">
      <c r="A28" s="101" t="s">
        <v>8</v>
      </c>
      <c r="D28" s="178">
        <f>D13*$Y$13/1000</f>
        <v>40.799999999999997</v>
      </c>
      <c r="E28" s="178">
        <f>E13*$Y$13/1000*AB3</f>
        <v>38.832674999999995</v>
      </c>
      <c r="F28" s="178">
        <f t="shared" ref="F28:X28" si="13">F13*$Y$13/1000*AC3</f>
        <v>37.030159368749999</v>
      </c>
      <c r="G28" s="178">
        <f t="shared" si="13"/>
        <v>35.378385233817184</v>
      </c>
      <c r="H28" s="178">
        <f t="shared" si="13"/>
        <v>33.864369049208214</v>
      </c>
      <c r="I28" s="178">
        <f t="shared" si="13"/>
        <v>32.476135130542765</v>
      </c>
      <c r="J28" s="178">
        <f t="shared" si="13"/>
        <v>31.202644240360232</v>
      </c>
      <c r="K28" s="178">
        <f t="shared" si="13"/>
        <v>30.033726905616184</v>
      </c>
      <c r="L28" s="178">
        <f t="shared" si="13"/>
        <v>28.960021168740397</v>
      </c>
      <c r="M28" s="178">
        <f t="shared" si="13"/>
        <v>27.924700411957922</v>
      </c>
      <c r="N28" s="178">
        <f t="shared" si="13"/>
        <v>26.926392372230417</v>
      </c>
      <c r="O28" s="178">
        <f t="shared" si="13"/>
        <v>25.963773844923175</v>
      </c>
      <c r="P28" s="178">
        <f t="shared" si="13"/>
        <v>25.035568929967162</v>
      </c>
      <c r="Q28" s="178">
        <f t="shared" si="13"/>
        <v>24.140547340720833</v>
      </c>
      <c r="R28" s="178">
        <f t="shared" si="13"/>
        <v>23.277522773290059</v>
      </c>
      <c r="S28" s="178">
        <f t="shared" si="13"/>
        <v>22.445351334144938</v>
      </c>
      <c r="T28" s="178">
        <f t="shared" si="13"/>
        <v>21.642930023949258</v>
      </c>
      <c r="U28" s="178">
        <f t="shared" si="13"/>
        <v>20.869195275593064</v>
      </c>
      <c r="V28" s="178">
        <f t="shared" si="13"/>
        <v>20.123121544490608</v>
      </c>
      <c r="W28" s="178">
        <f t="shared" si="13"/>
        <v>19.403719949275068</v>
      </c>
      <c r="X28" s="178">
        <f t="shared" si="13"/>
        <v>18.710036961088488</v>
      </c>
    </row>
    <row r="29" spans="1:25" x14ac:dyDescent="0.3">
      <c r="A29" s="101" t="s">
        <v>12</v>
      </c>
      <c r="D29" s="178">
        <f>D14*$Y$14/1000</f>
        <v>39</v>
      </c>
      <c r="E29" s="178">
        <f>E14*$Y$14/1000*AB3</f>
        <v>37.119468749999996</v>
      </c>
      <c r="F29" s="178">
        <f t="shared" ref="F29:X29" si="14">F14*$Y$14/1000*AC3</f>
        <v>35.396475867187497</v>
      </c>
      <c r="G29" s="178">
        <f t="shared" si="14"/>
        <v>33.817574120560536</v>
      </c>
      <c r="H29" s="178">
        <f t="shared" si="14"/>
        <v>32.370352767625498</v>
      </c>
      <c r="I29" s="178">
        <f t="shared" si="14"/>
        <v>31.043364463018815</v>
      </c>
      <c r="J29" s="178">
        <f t="shared" si="14"/>
        <v>29.826056994461979</v>
      </c>
      <c r="K29" s="178">
        <f t="shared" si="14"/>
        <v>28.7087095421331</v>
      </c>
      <c r="L29" s="178">
        <f t="shared" si="14"/>
        <v>27.682373176001839</v>
      </c>
      <c r="M29" s="178">
        <f t="shared" si="14"/>
        <v>26.692728334959771</v>
      </c>
      <c r="N29" s="178">
        <f t="shared" si="14"/>
        <v>25.738463296984953</v>
      </c>
      <c r="O29" s="178">
        <f t="shared" si="14"/>
        <v>24.818313234117738</v>
      </c>
      <c r="P29" s="178">
        <f t="shared" si="14"/>
        <v>23.931058535998019</v>
      </c>
      <c r="Q29" s="178">
        <f t="shared" si="14"/>
        <v>23.075523193336092</v>
      </c>
      <c r="R29" s="178">
        <f t="shared" si="14"/>
        <v>22.250573239174319</v>
      </c>
      <c r="S29" s="178">
        <f t="shared" si="14"/>
        <v>21.455115245873834</v>
      </c>
      <c r="T29" s="178">
        <f t="shared" si="14"/>
        <v>20.688094875833848</v>
      </c>
      <c r="U29" s="178">
        <f t="shared" si="14"/>
        <v>19.948495484022786</v>
      </c>
      <c r="V29" s="178">
        <f t="shared" si="14"/>
        <v>19.235336770468969</v>
      </c>
      <c r="W29" s="178">
        <f t="shared" si="14"/>
        <v>18.547673480924697</v>
      </c>
      <c r="X29" s="178">
        <f t="shared" si="14"/>
        <v>17.884594153981634</v>
      </c>
    </row>
    <row r="30" spans="1:25" x14ac:dyDescent="0.3">
      <c r="A30" s="101" t="s">
        <v>13</v>
      </c>
      <c r="D30" s="178">
        <f>D15*$Y$15/1000</f>
        <v>19.600000000000001</v>
      </c>
      <c r="E30" s="178">
        <f>E15*$Y$15/1000*AB3</f>
        <v>18.654912499999998</v>
      </c>
      <c r="F30" s="178">
        <f t="shared" ref="F30:W30" si="15">F15*$Y$15/1000*AC3</f>
        <v>17.788998128124994</v>
      </c>
      <c r="G30" s="178">
        <f t="shared" si="15"/>
        <v>16.995498788794524</v>
      </c>
      <c r="H30" s="178">
        <f t="shared" si="15"/>
        <v>16.268177288345118</v>
      </c>
      <c r="I30" s="178">
        <f t="shared" si="15"/>
        <v>15.601280601927405</v>
      </c>
      <c r="J30" s="178">
        <f t="shared" si="15"/>
        <v>14.989505566447558</v>
      </c>
      <c r="K30" s="178">
        <f t="shared" si="15"/>
        <v>14.427966846815611</v>
      </c>
      <c r="L30" s="178">
        <f t="shared" si="15"/>
        <v>13.912167032041951</v>
      </c>
      <c r="M30" s="178">
        <f t="shared" si="15"/>
        <v>13.414807060646448</v>
      </c>
      <c r="N30" s="178">
        <f t="shared" si="15"/>
        <v>12.935227708228334</v>
      </c>
      <c r="O30" s="178">
        <f t="shared" si="15"/>
        <v>12.472793317659171</v>
      </c>
      <c r="P30" s="178">
        <f t="shared" si="15"/>
        <v>12.026890956552855</v>
      </c>
      <c r="Q30" s="178">
        <f t="shared" si="15"/>
        <v>11.596929604856086</v>
      </c>
      <c r="R30" s="178">
        <f t="shared" si="15"/>
        <v>11.182339371482479</v>
      </c>
      <c r="S30" s="178">
        <f t="shared" si="15"/>
        <v>10.782570738951978</v>
      </c>
      <c r="T30" s="178">
        <f t="shared" si="15"/>
        <v>10.397093835034445</v>
      </c>
      <c r="U30" s="178">
        <f t="shared" si="15"/>
        <v>10.025397730431962</v>
      </c>
      <c r="V30" s="178">
        <f t="shared" si="15"/>
        <v>9.6669897615690186</v>
      </c>
      <c r="W30" s="178">
        <f t="shared" si="15"/>
        <v>9.3213948775929243</v>
      </c>
      <c r="X30" s="178">
        <f>X15*$Y$15/1000*AU3</f>
        <v>8.9881550107189767</v>
      </c>
    </row>
    <row r="31" spans="1:25" x14ac:dyDescent="0.3">
      <c r="D31" s="183">
        <f>SUM(D26:D30)</f>
        <v>575.4</v>
      </c>
      <c r="E31" s="183">
        <f t="shared" ref="E31:X31" si="16">SUM(E26:E30)</f>
        <v>547.65493125</v>
      </c>
      <c r="F31" s="183">
        <f>SUM(F26:F30)</f>
        <v>522.23415933281251</v>
      </c>
      <c r="G31" s="183">
        <f t="shared" si="16"/>
        <v>498.93928587103932</v>
      </c>
      <c r="H31" s="183">
        <f t="shared" si="16"/>
        <v>477.58720467927463</v>
      </c>
      <c r="I31" s="183">
        <f t="shared" si="16"/>
        <v>458.00902338515459</v>
      </c>
      <c r="J31" s="183">
        <f t="shared" si="16"/>
        <v>440.04905627213913</v>
      </c>
      <c r="K31" s="183">
        <f t="shared" si="16"/>
        <v>423.56388386008683</v>
      </c>
      <c r="L31" s="183">
        <f t="shared" si="16"/>
        <v>408.42147501208882</v>
      </c>
      <c r="M31" s="183">
        <f t="shared" si="16"/>
        <v>393.82040728040653</v>
      </c>
      <c r="N31" s="183">
        <f t="shared" si="16"/>
        <v>379.74132772013184</v>
      </c>
      <c r="O31" s="183">
        <f t="shared" si="16"/>
        <v>366.16557525413702</v>
      </c>
      <c r="P31" s="183">
        <f t="shared" si="16"/>
        <v>353.07515593880157</v>
      </c>
      <c r="Q31" s="183">
        <f t="shared" si="16"/>
        <v>340.45271911398936</v>
      </c>
      <c r="R31" s="183">
        <f t="shared" si="16"/>
        <v>328.28153440566427</v>
      </c>
      <c r="S31" s="183">
        <f t="shared" si="16"/>
        <v>316.54546955066172</v>
      </c>
      <c r="T31" s="183">
        <f t="shared" si="16"/>
        <v>305.22896901422553</v>
      </c>
      <c r="U31" s="183">
        <f t="shared" si="16"/>
        <v>294.31703337196689</v>
      </c>
      <c r="V31" s="183">
        <f t="shared" si="16"/>
        <v>283.79519942891903</v>
      </c>
      <c r="W31" s="183">
        <f t="shared" si="16"/>
        <v>273.64952104933514</v>
      </c>
      <c r="X31" s="183">
        <f t="shared" si="16"/>
        <v>263.86655067182136</v>
      </c>
    </row>
    <row r="32" spans="1:25" ht="17.5" x14ac:dyDescent="0.35">
      <c r="A32" s="100" t="s">
        <v>212</v>
      </c>
      <c r="B32" s="184"/>
      <c r="C32" s="184"/>
      <c r="D32" s="298">
        <f>D25+D31+'WAN FAN Wi-Fi'!G190</f>
        <v>812.99200000000008</v>
      </c>
      <c r="E32" s="298">
        <f>E25+E31+'WAN FAN Wi-Fi'!H190</f>
        <v>782.77528124999992</v>
      </c>
      <c r="F32" s="298">
        <f>F25+F31+'WAN FAN Wi-Fi'!I190</f>
        <v>759.4336393328125</v>
      </c>
      <c r="G32" s="298">
        <f>G25+G31+'WAN FAN Wi-Fi'!J190</f>
        <v>735.02621170353927</v>
      </c>
      <c r="H32" s="298">
        <f>H25+H31+'WAN FAN Wi-Fi'!K190</f>
        <v>713.18784622258204</v>
      </c>
      <c r="I32" s="298">
        <f>I25+I31+'WAN FAN Wi-Fi'!L190</f>
        <v>692.73843171290298</v>
      </c>
      <c r="J32" s="298">
        <f>J25+J31+'WAN FAN Wi-Fi'!M190</f>
        <v>673.94959864972907</v>
      </c>
      <c r="K32" s="298">
        <f>K25+K31+'WAN FAN Wi-Fi'!N190</f>
        <v>657.51015871614106</v>
      </c>
      <c r="L32" s="298">
        <f>L25+L31+'WAN FAN Wi-Fi'!O190</f>
        <v>643.49347181904557</v>
      </c>
      <c r="M32" s="298">
        <f>M25+M31+'WAN FAN Wi-Fi'!P190</f>
        <v>631.17991480533954</v>
      </c>
      <c r="N32" s="298">
        <f>N25+N31+'WAN FAN Wi-Fi'!Q190</f>
        <v>619.82959923386886</v>
      </c>
      <c r="O32" s="298">
        <f>O25+O31+'WAN FAN Wi-Fi'!R190</f>
        <v>598.83220804978021</v>
      </c>
      <c r="P32" s="298">
        <f>P25+P31+'WAN FAN Wi-Fi'!S190</f>
        <v>570.83789519922732</v>
      </c>
      <c r="Q32" s="298">
        <f>Q25+Q31+'WAN FAN Wi-Fi'!T190</f>
        <v>537.22462692612351</v>
      </c>
      <c r="R32" s="298">
        <f>R25+R31+'WAN FAN Wi-Fi'!U190</f>
        <v>508.65856475317935</v>
      </c>
      <c r="S32" s="298">
        <f>S25+S31+'WAN FAN Wi-Fi'!V190</f>
        <v>484.45872165338307</v>
      </c>
      <c r="T32" s="298">
        <f>T25+T31+'WAN FAN Wi-Fi'!W190</f>
        <v>466.29996065226669</v>
      </c>
      <c r="U32" s="298">
        <f>U25+U31+'WAN FAN Wi-Fi'!X190</f>
        <v>452.83238907771238</v>
      </c>
      <c r="V32" s="298">
        <f>V25+V31+'WAN FAN Wi-Fi'!Y190</f>
        <v>443.3832194865837</v>
      </c>
      <c r="W32" s="298">
        <f>W25+W31+'WAN FAN Wi-Fi'!Z190</f>
        <v>439.14331708733636</v>
      </c>
      <c r="X32" s="298">
        <f>X25+X31+'WAN FAN Wi-Fi'!AA190</f>
        <v>440.98982651296217</v>
      </c>
    </row>
    <row r="33" spans="1:28" x14ac:dyDescent="0.3">
      <c r="A33" s="105"/>
      <c r="B33" s="184"/>
      <c r="C33" s="184"/>
    </row>
    <row r="34" spans="1:28" x14ac:dyDescent="0.3">
      <c r="D34" s="105">
        <v>2010</v>
      </c>
      <c r="E34" s="105">
        <v>2011</v>
      </c>
      <c r="F34" s="105">
        <v>2012</v>
      </c>
      <c r="G34" s="105">
        <v>2013</v>
      </c>
      <c r="H34" s="105">
        <v>2014</v>
      </c>
      <c r="I34" s="105">
        <v>2015</v>
      </c>
      <c r="J34" s="105">
        <v>2016</v>
      </c>
      <c r="K34" s="105">
        <v>2017</v>
      </c>
      <c r="L34" s="105">
        <v>2018</v>
      </c>
      <c r="M34" s="105">
        <v>2019</v>
      </c>
      <c r="N34" s="105">
        <v>2020</v>
      </c>
      <c r="O34" s="105">
        <v>2021</v>
      </c>
      <c r="P34" s="105">
        <v>2022</v>
      </c>
      <c r="Q34" s="105">
        <v>2023</v>
      </c>
      <c r="R34" s="105">
        <v>2024</v>
      </c>
      <c r="S34" s="105">
        <v>2025</v>
      </c>
      <c r="T34" s="105">
        <v>2026</v>
      </c>
      <c r="U34" s="105">
        <v>2027</v>
      </c>
      <c r="V34" s="105">
        <v>2028</v>
      </c>
      <c r="W34" s="105">
        <v>2029</v>
      </c>
      <c r="X34" s="105">
        <v>2030</v>
      </c>
    </row>
    <row r="35" spans="1:28" x14ac:dyDescent="0.3">
      <c r="N35" s="49"/>
    </row>
    <row r="36" spans="1:28" x14ac:dyDescent="0.3">
      <c r="A36" s="101" t="s">
        <v>296</v>
      </c>
      <c r="D36" s="101">
        <f>D31/D32</f>
        <v>0.70775604187987085</v>
      </c>
      <c r="E36" s="101">
        <f t="shared" ref="E36:X36" si="17">E31/E32</f>
        <v>0.69963237773101317</v>
      </c>
      <c r="F36" s="101">
        <f t="shared" si="17"/>
        <v>0.68766266370767093</v>
      </c>
      <c r="G36" s="101">
        <f t="shared" si="17"/>
        <v>0.67880475271034046</v>
      </c>
      <c r="H36" s="101">
        <f t="shared" si="17"/>
        <v>0.66965135091522898</v>
      </c>
      <c r="I36" s="101">
        <f t="shared" si="17"/>
        <v>0.66115723109609559</v>
      </c>
      <c r="J36" s="101">
        <f t="shared" si="17"/>
        <v>0.65294060142447718</v>
      </c>
      <c r="K36" s="101">
        <f t="shared" si="17"/>
        <v>0.64419367251624016</v>
      </c>
      <c r="L36" s="101">
        <f t="shared" si="17"/>
        <v>0.63469404570267263</v>
      </c>
      <c r="M36" s="101">
        <f t="shared" si="17"/>
        <v>0.62394318647142566</v>
      </c>
      <c r="N36" s="101">
        <f t="shared" si="17"/>
        <v>0.61265439435210167</v>
      </c>
      <c r="O36" s="101">
        <f t="shared" si="17"/>
        <v>0.61146606734235331</v>
      </c>
      <c r="P36" s="101">
        <f t="shared" si="17"/>
        <v>0.61852087765752717</v>
      </c>
      <c r="Q36" s="101">
        <f t="shared" si="17"/>
        <v>0.63372507895250818</v>
      </c>
      <c r="R36" s="101">
        <f t="shared" si="17"/>
        <v>0.6453868216393035</v>
      </c>
      <c r="S36" s="101">
        <f t="shared" si="17"/>
        <v>0.65340029067975236</v>
      </c>
      <c r="T36" s="101">
        <f t="shared" si="17"/>
        <v>0.6545764417120411</v>
      </c>
      <c r="U36" s="101">
        <f t="shared" si="17"/>
        <v>0.64994695713220718</v>
      </c>
      <c r="V36" s="101">
        <f t="shared" si="17"/>
        <v>0.64006752388495924</v>
      </c>
      <c r="W36" s="101">
        <f t="shared" si="17"/>
        <v>0.62314399514113983</v>
      </c>
      <c r="X36" s="101">
        <f t="shared" si="17"/>
        <v>0.59835065302592738</v>
      </c>
    </row>
    <row r="40" spans="1:28" x14ac:dyDescent="0.3">
      <c r="G40" s="105">
        <v>2010</v>
      </c>
      <c r="H40" s="105">
        <v>2011</v>
      </c>
      <c r="I40" s="105">
        <v>2012</v>
      </c>
      <c r="J40" s="105">
        <v>2013</v>
      </c>
      <c r="K40" s="105">
        <v>2014</v>
      </c>
      <c r="L40" s="105">
        <v>2015</v>
      </c>
      <c r="M40" s="105">
        <v>2016</v>
      </c>
      <c r="N40" s="105">
        <v>2017</v>
      </c>
      <c r="O40" s="105">
        <v>2018</v>
      </c>
      <c r="P40" s="105">
        <v>2019</v>
      </c>
      <c r="Q40" s="105">
        <v>2020</v>
      </c>
      <c r="R40" s="105">
        <v>2021</v>
      </c>
      <c r="S40" s="105">
        <v>2022</v>
      </c>
      <c r="T40" s="105">
        <v>2023</v>
      </c>
      <c r="U40" s="105">
        <v>2024</v>
      </c>
      <c r="V40" s="105">
        <v>2025</v>
      </c>
      <c r="W40" s="105">
        <v>2026</v>
      </c>
      <c r="X40" s="105">
        <v>2027</v>
      </c>
      <c r="Y40" s="105">
        <v>2028</v>
      </c>
      <c r="Z40" s="105">
        <v>2029</v>
      </c>
      <c r="AA40" s="105">
        <v>2030</v>
      </c>
      <c r="AB40" s="105"/>
    </row>
    <row r="41" spans="1:28" ht="14.5" x14ac:dyDescent="0.35">
      <c r="F41" s="49" t="s">
        <v>216</v>
      </c>
      <c r="G41" s="293">
        <f>D32</f>
        <v>812.99200000000008</v>
      </c>
      <c r="H41" s="293">
        <f t="shared" ref="H41:AA41" si="18">E32</f>
        <v>782.77528124999992</v>
      </c>
      <c r="I41" s="293">
        <f t="shared" si="18"/>
        <v>759.4336393328125</v>
      </c>
      <c r="J41" s="293">
        <f t="shared" si="18"/>
        <v>735.02621170353927</v>
      </c>
      <c r="K41" s="293">
        <f t="shared" si="18"/>
        <v>713.18784622258204</v>
      </c>
      <c r="L41" s="293">
        <f t="shared" si="18"/>
        <v>692.73843171290298</v>
      </c>
      <c r="M41" s="293">
        <f t="shared" si="18"/>
        <v>673.94959864972907</v>
      </c>
      <c r="N41" s="293">
        <f t="shared" si="18"/>
        <v>657.51015871614106</v>
      </c>
      <c r="O41" s="293">
        <f t="shared" si="18"/>
        <v>643.49347181904557</v>
      </c>
      <c r="P41" s="293">
        <f t="shared" si="18"/>
        <v>631.17991480533954</v>
      </c>
      <c r="Q41" s="293">
        <f t="shared" si="18"/>
        <v>619.82959923386886</v>
      </c>
      <c r="R41" s="293">
        <f t="shared" si="18"/>
        <v>598.83220804978021</v>
      </c>
      <c r="S41" s="293">
        <f t="shared" si="18"/>
        <v>570.83789519922732</v>
      </c>
      <c r="T41" s="293">
        <f>Q32</f>
        <v>537.22462692612351</v>
      </c>
      <c r="U41" s="293">
        <f t="shared" si="18"/>
        <v>508.65856475317935</v>
      </c>
      <c r="V41" s="293">
        <f t="shared" si="18"/>
        <v>484.45872165338307</v>
      </c>
      <c r="W41" s="293">
        <f t="shared" si="18"/>
        <v>466.29996065226669</v>
      </c>
      <c r="X41" s="293">
        <f t="shared" si="18"/>
        <v>452.83238907771238</v>
      </c>
      <c r="Y41" s="293">
        <f t="shared" si="18"/>
        <v>443.3832194865837</v>
      </c>
      <c r="Z41" s="293">
        <f t="shared" si="18"/>
        <v>439.14331708733636</v>
      </c>
      <c r="AA41" s="293">
        <f t="shared" si="18"/>
        <v>440.98982651296217</v>
      </c>
      <c r="AB41" s="178"/>
    </row>
    <row r="42" spans="1:28" ht="14.5" x14ac:dyDescent="0.35">
      <c r="F42" s="49" t="s">
        <v>217</v>
      </c>
      <c r="G42" s="294">
        <f>'Cons Dev Expe'!D33</f>
        <v>1088.4199999999998</v>
      </c>
      <c r="H42" s="294">
        <f>'Cons Dev Expe'!E33</f>
        <v>1065.44307875</v>
      </c>
      <c r="I42" s="294">
        <f>'Cons Dev Expe'!F33</f>
        <v>1049.9421761648125</v>
      </c>
      <c r="J42" s="294">
        <f>'Cons Dev Expe'!G33</f>
        <v>1035.4245784797611</v>
      </c>
      <c r="K42" s="294">
        <f>'Cons Dev Expe'!H33</f>
        <v>1025.0269286937832</v>
      </c>
      <c r="L42" s="294">
        <f>'Cons Dev Expe'!I33</f>
        <v>1018.7870757360428</v>
      </c>
      <c r="M42" s="294">
        <f>'Cons Dev Expe'!J33</f>
        <v>1015.6228403356639</v>
      </c>
      <c r="N42" s="294">
        <f>'Cons Dev Expe'!K33</f>
        <v>1011.6276133400809</v>
      </c>
      <c r="O42" s="294">
        <f>'Cons Dev Expe'!L33</f>
        <v>1011.0271091336995</v>
      </c>
      <c r="P42" s="294">
        <f>'Cons Dev Expe'!M33</f>
        <v>1013.68584316188</v>
      </c>
      <c r="Q42" s="294">
        <f>'Cons Dev Expe'!N33</f>
        <v>1038.5234219383763</v>
      </c>
      <c r="R42" s="294">
        <f>'Cons Dev Expe'!O33</f>
        <v>1051.1192126601939</v>
      </c>
      <c r="S42" s="294">
        <f>'Cons Dev Expe'!P33</f>
        <v>1054.3354920626057</v>
      </c>
      <c r="T42" s="294">
        <f>'Cons Dev Expe'!Q33</f>
        <v>1049.2865957437225</v>
      </c>
      <c r="U42" s="294">
        <f>'Cons Dev Expe'!R33</f>
        <v>1036.6037323885841</v>
      </c>
      <c r="V42" s="294">
        <f>'Cons Dev Expe'!S33</f>
        <v>1016.7411876808794</v>
      </c>
      <c r="W42" s="294">
        <f>'Cons Dev Expe'!T33</f>
        <v>1007.8264868914262</v>
      </c>
      <c r="X42" s="294">
        <f>'Cons Dev Expe'!U33</f>
        <v>1008.1782067997772</v>
      </c>
      <c r="Y42" s="294">
        <f>'Cons Dev Expe'!V33</f>
        <v>1017.1690064520277</v>
      </c>
      <c r="Z42" s="294">
        <f>'Cons Dev Expe'!W33</f>
        <v>1037.8097717444268</v>
      </c>
      <c r="AA42" s="294">
        <f>'Cons Dev Expe'!X33</f>
        <v>1072.9527648587175</v>
      </c>
      <c r="AB42" s="178"/>
    </row>
    <row r="43" spans="1:28" ht="14.5" x14ac:dyDescent="0.35">
      <c r="F43" s="49" t="s">
        <v>218</v>
      </c>
      <c r="G43" s="295">
        <f>'Cons Dev Worst'!D33</f>
        <v>1177.8980000000001</v>
      </c>
      <c r="H43" s="295">
        <f>'Cons Dev Worst'!E33</f>
        <v>1170.31649625</v>
      </c>
      <c r="I43" s="295">
        <f>'Cons Dev Worst'!F33</f>
        <v>1169.0052660433125</v>
      </c>
      <c r="J43" s="295">
        <f>'Cons Dev Worst'!G33</f>
        <v>1172.3288022650775</v>
      </c>
      <c r="K43" s="295">
        <f>'Cons Dev Worst'!H33</f>
        <v>1179.7750707930936</v>
      </c>
      <c r="L43" s="295">
        <f>'Cons Dev Worst'!I33</f>
        <v>1191.5514225843172</v>
      </c>
      <c r="M43" s="295">
        <f>'Cons Dev Worst'!J33</f>
        <v>1206.9933521882958</v>
      </c>
      <c r="N43" s="295">
        <f>'Cons Dev Worst'!K33</f>
        <v>1226.7345747488785</v>
      </c>
      <c r="O43" s="295">
        <f>'Cons Dev Worst'!L33</f>
        <v>1249.4797327577376</v>
      </c>
      <c r="P43" s="295">
        <f>'Cons Dev Worst'!M33</f>
        <v>1275.7506549402838</v>
      </c>
      <c r="Q43" s="295">
        <f>'Cons Dev Worst'!N33</f>
        <v>1306.716615754955</v>
      </c>
      <c r="R43" s="295">
        <f>'Cons Dev Worst'!O33</f>
        <v>1323.5807948603588</v>
      </c>
      <c r="S43" s="295">
        <f>'Cons Dev Worst'!P33</f>
        <v>1327.7524562452929</v>
      </c>
      <c r="T43" s="295">
        <f>'Cons Dev Worst'!Q33</f>
        <v>1321.2510082959689</v>
      </c>
      <c r="U43" s="295">
        <f>'Cons Dev Worst'!R33</f>
        <v>1305.110595963795</v>
      </c>
      <c r="V43" s="295">
        <f>'Cons Dev Worst'!S33</f>
        <v>1279.7206005067424</v>
      </c>
      <c r="W43" s="295">
        <f>'Cons Dev Worst'!T33</f>
        <v>1245.2216303778341</v>
      </c>
      <c r="X43" s="295">
        <f>'Cons Dev Worst'!U33</f>
        <v>1201.5214397613811</v>
      </c>
      <c r="Y43" s="295">
        <f>'Cons Dev Worst'!V33</f>
        <v>1164.7353273069036</v>
      </c>
      <c r="Z43" s="295">
        <f>'Cons Dev Worst'!W33</f>
        <v>1133.7322441621973</v>
      </c>
      <c r="AA43" s="295">
        <f>'Cons Dev Worst'!X33</f>
        <v>1107.5707214784902</v>
      </c>
      <c r="AB43" s="178"/>
    </row>
    <row r="57" spans="6:6" x14ac:dyDescent="0.3">
      <c r="F57" s="100" t="s">
        <v>343</v>
      </c>
    </row>
  </sheetData>
  <pageMargins left="0.75" right="0.75" top="1" bottom="1" header="0.5" footer="0.5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zoomScale="25" zoomScaleNormal="25" workbookViewId="0">
      <selection activeCell="AJ4" sqref="AJ4"/>
    </sheetView>
  </sheetViews>
  <sheetFormatPr defaultColWidth="11" defaultRowHeight="13.5" x14ac:dyDescent="0.3"/>
  <cols>
    <col min="4" max="4" width="11.23046875" customWidth="1"/>
    <col min="6" max="6" width="12" bestFit="1" customWidth="1"/>
    <col min="8" max="17" width="8.61328125" bestFit="1" customWidth="1"/>
    <col min="18" max="24" width="9.765625" bestFit="1" customWidth="1"/>
    <col min="25" max="25" width="9.15234375" customWidth="1"/>
  </cols>
  <sheetData>
    <row r="1" spans="1:47" x14ac:dyDescent="0.3">
      <c r="B1" s="7" t="s">
        <v>35</v>
      </c>
      <c r="C1" s="36" t="s">
        <v>96</v>
      </c>
    </row>
    <row r="2" spans="1:47" s="7" customFormat="1" ht="27" x14ac:dyDescent="0.3">
      <c r="B2" s="19"/>
      <c r="C2" s="19"/>
      <c r="D2" s="19">
        <v>2010</v>
      </c>
      <c r="E2" s="19">
        <v>2011</v>
      </c>
      <c r="F2" s="19">
        <v>2012</v>
      </c>
      <c r="G2" s="19">
        <v>2013</v>
      </c>
      <c r="H2" s="19">
        <v>2014</v>
      </c>
      <c r="I2" s="19">
        <v>2015</v>
      </c>
      <c r="J2" s="19">
        <v>2016</v>
      </c>
      <c r="K2" s="19">
        <v>2017</v>
      </c>
      <c r="L2" s="19">
        <v>2018</v>
      </c>
      <c r="M2" s="19">
        <v>2019</v>
      </c>
      <c r="N2" s="19">
        <v>2020</v>
      </c>
      <c r="O2" s="19">
        <v>2021</v>
      </c>
      <c r="P2" s="19">
        <v>2022</v>
      </c>
      <c r="Q2" s="19">
        <v>2023</v>
      </c>
      <c r="R2" s="19">
        <v>2024</v>
      </c>
      <c r="S2" s="19">
        <v>2025</v>
      </c>
      <c r="T2" s="19">
        <v>2026</v>
      </c>
      <c r="U2" s="19">
        <v>2027</v>
      </c>
      <c r="V2" s="19">
        <v>2028</v>
      </c>
      <c r="W2" s="19">
        <v>2029</v>
      </c>
      <c r="X2" s="19">
        <v>2030</v>
      </c>
      <c r="Y2" s="8" t="s">
        <v>10</v>
      </c>
      <c r="AA2" s="8"/>
      <c r="AB2" s="8">
        <v>2011</v>
      </c>
      <c r="AC2" s="7">
        <v>2012</v>
      </c>
      <c r="AD2" s="7">
        <v>2013</v>
      </c>
      <c r="AE2" s="7">
        <v>2014</v>
      </c>
      <c r="AF2" s="7">
        <v>2015</v>
      </c>
      <c r="AG2" s="7">
        <v>2016</v>
      </c>
      <c r="AH2" s="7">
        <v>2017</v>
      </c>
      <c r="AI2" s="7">
        <v>2018</v>
      </c>
      <c r="AJ2" s="7">
        <v>2019</v>
      </c>
      <c r="AK2" s="7">
        <v>2020</v>
      </c>
      <c r="AL2" s="7">
        <v>2021</v>
      </c>
      <c r="AM2" s="7">
        <v>2022</v>
      </c>
      <c r="AN2" s="7">
        <v>2023</v>
      </c>
      <c r="AO2" s="7">
        <v>2024</v>
      </c>
      <c r="AP2" s="7">
        <v>2025</v>
      </c>
      <c r="AQ2" s="7">
        <v>2026</v>
      </c>
      <c r="AR2" s="7">
        <v>2027</v>
      </c>
      <c r="AS2" s="7">
        <v>2028</v>
      </c>
      <c r="AT2" s="7">
        <v>2029</v>
      </c>
      <c r="AU2" s="7">
        <v>2030</v>
      </c>
    </row>
    <row r="3" spans="1:47" ht="14" x14ac:dyDescent="0.3">
      <c r="A3" s="36" t="s">
        <v>74</v>
      </c>
      <c r="B3" s="11"/>
      <c r="C3" s="11"/>
      <c r="D3" s="18">
        <f>Production!B3*5</f>
        <v>730</v>
      </c>
      <c r="E3" s="18">
        <f>Production!B3*4+Production!C3</f>
        <v>732</v>
      </c>
      <c r="F3" s="18">
        <f>Production!B3*3+Production!C3+Production!D3</f>
        <v>737</v>
      </c>
      <c r="G3" s="18">
        <f>Production!B3*2+Production!C3+Production!D3+Production!E3</f>
        <v>738.98</v>
      </c>
      <c r="H3" s="18">
        <f>SUM(Production!B3:F3)</f>
        <v>738.00040000000001</v>
      </c>
      <c r="I3" s="18">
        <f>SUM(Production!C3:G3)</f>
        <v>734.12039200000004</v>
      </c>
      <c r="J3" s="18">
        <f>SUM(Production!D3:H3)</f>
        <v>725.39798416000008</v>
      </c>
      <c r="K3" s="18">
        <f>SUM(Production!E3:I3)</f>
        <v>710.89002447680002</v>
      </c>
      <c r="L3" s="18">
        <f>SUM(Production!F3:J3)</f>
        <v>696.67222398726403</v>
      </c>
      <c r="M3" s="18">
        <f>SUM(Production!G3:K3)</f>
        <v>682.73877950751864</v>
      </c>
      <c r="N3" s="18">
        <f>SUM(Production!H3:L3)</f>
        <v>669.08400391736825</v>
      </c>
      <c r="O3" s="18">
        <f>SUM(Production!I3:M3)</f>
        <v>655.70232383902089</v>
      </c>
      <c r="P3" s="18">
        <f>SUM(Production!J3:N3)</f>
        <v>642.58827736224043</v>
      </c>
      <c r="Q3" s="18">
        <f>SUM(Production!K3:O3)</f>
        <v>629.73651181499577</v>
      </c>
      <c r="R3" s="18">
        <f>SUM(Production!L3:P3)</f>
        <v>617.14178157869583</v>
      </c>
      <c r="S3" s="18">
        <f>SUM(Production!M3:Q3)</f>
        <v>604.79894594712198</v>
      </c>
      <c r="T3" s="18">
        <f>SUM(Production!N3:R3)</f>
        <v>592.70296702817961</v>
      </c>
      <c r="U3" s="18">
        <f>SUM(Production!O3:S3)</f>
        <v>580.84890768761613</v>
      </c>
      <c r="V3" s="18">
        <f>SUM(Production!P3:T3)</f>
        <v>569.23192953386388</v>
      </c>
      <c r="W3" s="18">
        <f>SUM(Production!Q3:U3)</f>
        <v>557.84729094318664</v>
      </c>
      <c r="X3" s="18">
        <f>SUM(Production!R3:V3)</f>
        <v>546.6903451243229</v>
      </c>
      <c r="Y3">
        <v>220</v>
      </c>
      <c r="Z3" t="s">
        <v>37</v>
      </c>
      <c r="AA3" s="36" t="s">
        <v>57</v>
      </c>
      <c r="AB3" s="36">
        <v>0.95</v>
      </c>
      <c r="AC3" s="35">
        <f>AB3*0.95</f>
        <v>0.90249999999999997</v>
      </c>
      <c r="AD3" s="22">
        <f>AC3*0.95</f>
        <v>0.85737499999999989</v>
      </c>
      <c r="AE3" s="22">
        <f t="shared" ref="AE3:AU3" si="0">AD3*0.95</f>
        <v>0.81450624999999988</v>
      </c>
      <c r="AF3" s="22">
        <f t="shared" si="0"/>
        <v>0.77378093749999988</v>
      </c>
      <c r="AG3" s="22">
        <f t="shared" si="0"/>
        <v>0.7350918906249998</v>
      </c>
      <c r="AH3" s="22">
        <f t="shared" si="0"/>
        <v>0.69833729609374973</v>
      </c>
      <c r="AI3" s="22">
        <f t="shared" si="0"/>
        <v>0.66342043128906225</v>
      </c>
      <c r="AJ3" s="22">
        <f t="shared" si="0"/>
        <v>0.63024940972460908</v>
      </c>
      <c r="AK3" s="22">
        <f t="shared" si="0"/>
        <v>0.59873693923837856</v>
      </c>
      <c r="AL3" s="22">
        <f t="shared" si="0"/>
        <v>0.56880009227645956</v>
      </c>
      <c r="AM3" s="22">
        <f t="shared" si="0"/>
        <v>0.54036008766263655</v>
      </c>
      <c r="AN3" s="22">
        <f t="shared" si="0"/>
        <v>0.5133420832795047</v>
      </c>
      <c r="AO3" s="22">
        <f t="shared" si="0"/>
        <v>0.48767497911552943</v>
      </c>
      <c r="AP3" s="22">
        <f t="shared" si="0"/>
        <v>0.46329123015975293</v>
      </c>
      <c r="AQ3" s="22">
        <f t="shared" si="0"/>
        <v>0.44012666865176525</v>
      </c>
      <c r="AR3" s="22">
        <f t="shared" si="0"/>
        <v>0.41812033521917696</v>
      </c>
      <c r="AS3" s="22">
        <f t="shared" si="0"/>
        <v>0.39721431845821809</v>
      </c>
      <c r="AT3" s="22">
        <f t="shared" si="0"/>
        <v>0.37735360253530714</v>
      </c>
      <c r="AU3" s="22">
        <f t="shared" si="0"/>
        <v>0.35848592240854177</v>
      </c>
    </row>
    <row r="4" spans="1:47" ht="14" x14ac:dyDescent="0.3">
      <c r="A4" s="36" t="s">
        <v>75</v>
      </c>
      <c r="B4" s="11"/>
      <c r="C4" s="11"/>
      <c r="D4" s="18">
        <f>Production!B4*5</f>
        <v>810</v>
      </c>
      <c r="E4" s="18">
        <f>Production!B4*4+Production!C4</f>
        <v>813</v>
      </c>
      <c r="F4" s="18">
        <f>Production!B4*3+Production!C4+Production!D4</f>
        <v>820</v>
      </c>
      <c r="G4" s="18">
        <f>Production!B4*2+Production!C4+Production!D4+Production!E4</f>
        <v>823.62</v>
      </c>
      <c r="H4" s="18">
        <f>SUM(Production!B4:F4)</f>
        <v>823.92759999999998</v>
      </c>
      <c r="I4" s="18">
        <f>SUM(Production!C4:G4)</f>
        <v>820.98904800000003</v>
      </c>
      <c r="J4" s="18">
        <f>SUM(Production!D4:H4)</f>
        <v>811.86926704000007</v>
      </c>
      <c r="K4" s="18">
        <f>SUM(Production!E4:I4)</f>
        <v>795.63188169920011</v>
      </c>
      <c r="L4" s="18">
        <f>SUM(Production!F4:J4)</f>
        <v>779.71924406521612</v>
      </c>
      <c r="M4" s="18">
        <f>SUM(Production!G4:K4)</f>
        <v>764.12485918391167</v>
      </c>
      <c r="N4" s="18">
        <f>SUM(Production!H4:L4)</f>
        <v>748.84236200023349</v>
      </c>
      <c r="O4" s="18">
        <f>SUM(Production!I4:M4)</f>
        <v>733.86551476022896</v>
      </c>
      <c r="P4" s="18">
        <f>SUM(Production!J4:N4)</f>
        <v>719.18820446502423</v>
      </c>
      <c r="Q4" s="18">
        <f>SUM(Production!K4:O4)</f>
        <v>704.80444037572374</v>
      </c>
      <c r="R4" s="18">
        <f>SUM(Production!L4:P4)</f>
        <v>690.70835156820931</v>
      </c>
      <c r="S4" s="18">
        <f>SUM(Production!M4:Q4)</f>
        <v>676.89418453684493</v>
      </c>
      <c r="T4" s="18">
        <f>SUM(Production!N4:R4)</f>
        <v>663.35630084610807</v>
      </c>
      <c r="U4" s="18">
        <f>SUM(Production!O4:S4)</f>
        <v>650.08917482918582</v>
      </c>
      <c r="V4" s="18">
        <f>SUM(Production!P4:T4)</f>
        <v>637.08739133260201</v>
      </c>
      <c r="W4" s="18">
        <f>SUM(Production!Q4:U4)</f>
        <v>624.34564350594985</v>
      </c>
      <c r="X4" s="18">
        <f>SUM(Production!R4:V4)</f>
        <v>611.85873063583085</v>
      </c>
      <c r="Y4">
        <v>97</v>
      </c>
      <c r="Z4">
        <v>1.05</v>
      </c>
      <c r="AA4" s="36" t="s">
        <v>16</v>
      </c>
      <c r="AB4" s="36">
        <v>0.97</v>
      </c>
      <c r="AC4" s="35">
        <f>AB4*0.97</f>
        <v>0.94089999999999996</v>
      </c>
      <c r="AD4" s="22">
        <f>AC4*0.97</f>
        <v>0.91267299999999996</v>
      </c>
      <c r="AE4" s="22">
        <f t="shared" ref="AE4:AJ4" si="1">AD4*0.97</f>
        <v>0.88529280999999993</v>
      </c>
      <c r="AF4" s="22">
        <f t="shared" si="1"/>
        <v>0.8587340256999999</v>
      </c>
      <c r="AG4" s="22">
        <f t="shared" si="1"/>
        <v>0.83297200492899992</v>
      </c>
      <c r="AH4" s="22">
        <f t="shared" si="1"/>
        <v>0.80798284478112992</v>
      </c>
      <c r="AI4" s="22">
        <f t="shared" si="1"/>
        <v>0.78374335943769602</v>
      </c>
      <c r="AJ4" s="22">
        <f t="shared" si="1"/>
        <v>0.76023105865456508</v>
      </c>
      <c r="AK4" s="329">
        <f>AJ4*0.99</f>
        <v>0.75262874806801938</v>
      </c>
      <c r="AL4" s="329">
        <f t="shared" ref="AL4:AU4" si="2">AK4*0.99</f>
        <v>0.7451024605873392</v>
      </c>
      <c r="AM4" s="329">
        <f t="shared" si="2"/>
        <v>0.73765143598146576</v>
      </c>
      <c r="AN4" s="329">
        <f t="shared" si="2"/>
        <v>0.73027492162165109</v>
      </c>
      <c r="AO4" s="329">
        <f t="shared" si="2"/>
        <v>0.72297217240543454</v>
      </c>
      <c r="AP4" s="329">
        <f t="shared" si="2"/>
        <v>0.7157424506813802</v>
      </c>
      <c r="AQ4" s="329">
        <f t="shared" si="2"/>
        <v>0.70858502617456642</v>
      </c>
      <c r="AR4" s="329">
        <f t="shared" si="2"/>
        <v>0.70149917591282074</v>
      </c>
      <c r="AS4" s="329">
        <f t="shared" si="2"/>
        <v>0.69448418415369251</v>
      </c>
      <c r="AT4" s="329">
        <f t="shared" si="2"/>
        <v>0.68753934231215552</v>
      </c>
      <c r="AU4" s="329">
        <f t="shared" si="2"/>
        <v>0.68066394888903392</v>
      </c>
    </row>
    <row r="5" spans="1:47" ht="14" x14ac:dyDescent="0.3">
      <c r="A5" s="36" t="s">
        <v>76</v>
      </c>
      <c r="B5" s="11"/>
      <c r="C5" s="21"/>
      <c r="D5" s="18">
        <f>Production!B5*5</f>
        <v>1005</v>
      </c>
      <c r="E5" s="18">
        <f>Production!B5*4+Production!C5</f>
        <v>1019</v>
      </c>
      <c r="F5" s="18">
        <f>Production!B5*3+Production!C5+Production!D5</f>
        <v>1064</v>
      </c>
      <c r="G5" s="18">
        <f>Production!B5*2+Production!C5+Production!D5+Production!E5</f>
        <v>1147</v>
      </c>
      <c r="H5" s="18">
        <f>SUM(Production!B5:F5)</f>
        <v>1278</v>
      </c>
      <c r="I5" s="18">
        <f>SUM(Production!C5:G5)</f>
        <v>1461</v>
      </c>
      <c r="J5" s="18">
        <f>SUM(Production!D5:H5)</f>
        <v>1689</v>
      </c>
      <c r="K5" s="18">
        <f>SUM(Production!E5:I5)</f>
        <v>1954.0651041666665</v>
      </c>
      <c r="L5" s="18">
        <f>SUM(Production!F5:J5)</f>
        <v>2259.6532321506074</v>
      </c>
      <c r="M5" s="18">
        <f>SUM(Production!G5:K5)</f>
        <v>2607.829119382081</v>
      </c>
      <c r="N5" s="18">
        <f>SUM(Production!H5:L5)</f>
        <v>3008.5111976204735</v>
      </c>
      <c r="O5" s="18">
        <f>SUM(Production!I5:M5)</f>
        <v>3224.6441433407231</v>
      </c>
      <c r="P5" s="18">
        <f>SUM(Production!J5:N5)</f>
        <v>3267.2507135790661</v>
      </c>
      <c r="Q5" s="18">
        <f>SUM(Production!K5:O5)</f>
        <v>3142.7467920953331</v>
      </c>
      <c r="R5" s="18">
        <f>SUM(Production!L5:P5)</f>
        <v>2853.2416383240343</v>
      </c>
      <c r="S5" s="18">
        <f>SUM(Production!M5:Q5)</f>
        <v>2396.7229761921881</v>
      </c>
      <c r="T5" s="18">
        <f>SUM(Production!N5:R5)</f>
        <v>2013.2473000014375</v>
      </c>
      <c r="U5" s="18">
        <f>SUM(Production!O5:S5)</f>
        <v>1691.1277320012071</v>
      </c>
      <c r="V5" s="18">
        <f>SUM(Production!P5:T5)</f>
        <v>1420.5472948810134</v>
      </c>
      <c r="W5" s="18">
        <f>SUM(Production!Q5:U5)</f>
        <v>1193.2597277000514</v>
      </c>
      <c r="X5" s="18">
        <f>SUM(Production!R5:V5)</f>
        <v>1002.3381712680427</v>
      </c>
      <c r="Y5">
        <v>80</v>
      </c>
      <c r="AA5" s="36" t="s">
        <v>58</v>
      </c>
      <c r="AB5" s="36">
        <v>0.99</v>
      </c>
      <c r="AC5" s="35">
        <f>AB5*0.99</f>
        <v>0.98009999999999997</v>
      </c>
      <c r="AD5" s="22">
        <f>AC5*0.99</f>
        <v>0.97029899999999991</v>
      </c>
      <c r="AE5" s="22">
        <f t="shared" ref="AE5:AU5" si="3">AD5*0.99</f>
        <v>0.96059600999999994</v>
      </c>
      <c r="AF5" s="22">
        <f t="shared" si="3"/>
        <v>0.95099004989999991</v>
      </c>
      <c r="AG5" s="22">
        <f t="shared" si="3"/>
        <v>0.94148014940099989</v>
      </c>
      <c r="AH5" s="22">
        <f t="shared" si="3"/>
        <v>0.93206534790698992</v>
      </c>
      <c r="AI5" s="22">
        <f t="shared" si="3"/>
        <v>0.92274469442791995</v>
      </c>
      <c r="AJ5" s="22">
        <f t="shared" si="3"/>
        <v>0.91351724748364072</v>
      </c>
      <c r="AK5" s="22">
        <f t="shared" si="3"/>
        <v>0.9043820750088043</v>
      </c>
      <c r="AL5" s="22">
        <f t="shared" si="3"/>
        <v>0.89533825425871627</v>
      </c>
      <c r="AM5" s="22">
        <f t="shared" si="3"/>
        <v>0.88638487171612912</v>
      </c>
      <c r="AN5" s="22">
        <f t="shared" si="3"/>
        <v>0.87752102299896784</v>
      </c>
      <c r="AO5" s="22">
        <f t="shared" si="3"/>
        <v>0.86874581276897811</v>
      </c>
      <c r="AP5" s="22">
        <f t="shared" si="3"/>
        <v>0.86005835464128833</v>
      </c>
      <c r="AQ5" s="22">
        <f t="shared" si="3"/>
        <v>0.85145777109487542</v>
      </c>
      <c r="AR5" s="22">
        <f t="shared" si="3"/>
        <v>0.84294319338392665</v>
      </c>
      <c r="AS5" s="22">
        <f t="shared" si="3"/>
        <v>0.83451376145008738</v>
      </c>
      <c r="AT5" s="22">
        <f t="shared" si="3"/>
        <v>0.82616862383558654</v>
      </c>
      <c r="AU5" s="22">
        <f t="shared" si="3"/>
        <v>0.81790693759723065</v>
      </c>
    </row>
    <row r="6" spans="1:47" x14ac:dyDescent="0.3">
      <c r="A6" s="36" t="s">
        <v>77</v>
      </c>
      <c r="B6" s="11"/>
      <c r="C6" s="20"/>
      <c r="D6" s="18">
        <f>Production!B6*2</f>
        <v>700</v>
      </c>
      <c r="E6" s="18">
        <f>Production!B6+Production!C6</f>
        <v>810</v>
      </c>
      <c r="F6" s="18">
        <f>Production!C6+Production!D6</f>
        <v>1160</v>
      </c>
      <c r="G6" s="18">
        <f>Production!D6+Production!E6</f>
        <v>1600</v>
      </c>
      <c r="H6" s="18">
        <f>Production!E6+Production!F6</f>
        <v>2075</v>
      </c>
      <c r="I6" s="18">
        <f>Production!F6+Production!G6</f>
        <v>2565</v>
      </c>
      <c r="J6" s="18">
        <f>Production!G6+Production!H6</f>
        <v>2849.5</v>
      </c>
      <c r="K6" s="18">
        <f>Production!H6+Production!I6</f>
        <v>2991.9750000000004</v>
      </c>
      <c r="L6" s="18">
        <f>Production!I6+Production!J6</f>
        <v>3141.5737500000005</v>
      </c>
      <c r="M6" s="18">
        <f>Production!J6+Production!K6</f>
        <v>3298.6524375000004</v>
      </c>
      <c r="N6" s="18">
        <f>Production!K6+Production!L6</f>
        <v>3463.5850593750006</v>
      </c>
      <c r="O6" s="18">
        <f>Production!L6+Production!M6</f>
        <v>3548.0313718750003</v>
      </c>
      <c r="P6" s="18">
        <f>Production!M6+Production!N6</f>
        <v>3548</v>
      </c>
      <c r="Q6" s="18">
        <f>Production!N6+Production!O6</f>
        <v>3548</v>
      </c>
      <c r="R6" s="18">
        <f>Production!O6+Production!P6</f>
        <v>3548</v>
      </c>
      <c r="S6" s="18">
        <f>Production!P6+Production!Q6</f>
        <v>3548</v>
      </c>
      <c r="T6" s="18">
        <f>Production!Q6+Production!R6</f>
        <v>3548</v>
      </c>
      <c r="U6" s="18">
        <f>Production!R6+Production!S6</f>
        <v>3548</v>
      </c>
      <c r="V6" s="18">
        <f>Production!S6+Production!T6</f>
        <v>3548</v>
      </c>
      <c r="W6" s="18">
        <f>Production!T6+Production!U6</f>
        <v>3548</v>
      </c>
      <c r="X6" s="18">
        <f>Production!U6+Production!V6</f>
        <v>3548</v>
      </c>
      <c r="Y6">
        <v>5</v>
      </c>
      <c r="AC6" s="17"/>
      <c r="AD6" s="17"/>
      <c r="AE6" s="17"/>
      <c r="AF6" s="17"/>
      <c r="AG6" s="17"/>
      <c r="AH6" s="17"/>
      <c r="AI6" s="17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47" x14ac:dyDescent="0.3">
      <c r="A7" s="36" t="s">
        <v>68</v>
      </c>
      <c r="B7" s="11"/>
      <c r="C7" s="20"/>
      <c r="D7" s="18">
        <f>Production!B7*2</f>
        <v>100</v>
      </c>
      <c r="E7" s="18">
        <f>Production!B7+Production!C7</f>
        <v>150</v>
      </c>
      <c r="F7" s="18">
        <f>Production!C7+Production!D7</f>
        <v>250</v>
      </c>
      <c r="G7" s="18">
        <f>Production!D7+Production!E7</f>
        <v>357</v>
      </c>
      <c r="H7" s="18">
        <f>Production!E7+Production!F7</f>
        <v>463</v>
      </c>
      <c r="I7" s="18">
        <f>Production!F7+Production!G7</f>
        <v>577</v>
      </c>
      <c r="J7" s="18">
        <f>Production!G7+Production!H7</f>
        <v>690.15</v>
      </c>
      <c r="K7" s="18">
        <f>Production!H7+Production!I7</f>
        <v>793.6724999999999</v>
      </c>
      <c r="L7" s="18">
        <f>Production!I7+Production!J7</f>
        <v>912.72337499999981</v>
      </c>
      <c r="M7" s="18">
        <f>Production!J7+Production!K7</f>
        <v>1049.6318812499997</v>
      </c>
      <c r="N7" s="18">
        <f>Production!K7+Production!L7</f>
        <v>1122.4310062499999</v>
      </c>
      <c r="O7" s="18">
        <f>Production!L7+Production!M7</f>
        <v>1122</v>
      </c>
      <c r="P7" s="18">
        <f>Production!M7+Production!N7</f>
        <v>1122</v>
      </c>
      <c r="Q7" s="18">
        <f>Production!N7+Production!O7</f>
        <v>1122</v>
      </c>
      <c r="R7" s="18">
        <f>Production!O7+Production!P7</f>
        <v>1122</v>
      </c>
      <c r="S7" s="18">
        <f>Production!P7+Production!Q7</f>
        <v>1122</v>
      </c>
      <c r="T7" s="18">
        <f>Production!Q7+Production!R7</f>
        <v>1122</v>
      </c>
      <c r="U7" s="18">
        <f>Production!R7+Production!S7</f>
        <v>1122</v>
      </c>
      <c r="V7" s="18">
        <f>Production!S7+Production!T7</f>
        <v>1122</v>
      </c>
      <c r="W7" s="18">
        <f>Production!T7+Production!U7</f>
        <v>1122</v>
      </c>
      <c r="X7" s="18">
        <f>Production!U7+Production!V7</f>
        <v>1122</v>
      </c>
      <c r="Y7">
        <v>15</v>
      </c>
      <c r="AC7" s="17"/>
      <c r="AD7" s="17"/>
      <c r="AE7" s="17"/>
      <c r="AF7" s="17"/>
      <c r="AG7" s="17"/>
      <c r="AH7" s="17"/>
      <c r="AI7" s="17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47" x14ac:dyDescent="0.3">
      <c r="A8" s="36" t="s">
        <v>291</v>
      </c>
      <c r="B8" s="18"/>
      <c r="C8" s="22"/>
      <c r="D8" s="18">
        <f>Production!B8*2</f>
        <v>2500</v>
      </c>
      <c r="E8" s="18">
        <f>Production!B8+Production!C8</f>
        <v>2510</v>
      </c>
      <c r="F8" s="18">
        <f>Production!C8+Production!D8</f>
        <v>2310</v>
      </c>
      <c r="G8" s="18">
        <f>Production!D8+Production!E8</f>
        <v>1956</v>
      </c>
      <c r="H8" s="18">
        <f>Production!E8+Production!F8</f>
        <v>1499</v>
      </c>
      <c r="I8" s="18">
        <f>Production!F8+Production!G8</f>
        <v>1357</v>
      </c>
      <c r="J8" s="18">
        <f>Production!G8+Production!H8</f>
        <v>1489.8</v>
      </c>
      <c r="K8" s="18">
        <f>Production!H8+Production!I8</f>
        <v>1415.31</v>
      </c>
      <c r="L8" s="18">
        <f>Production!I8+Production!J8</f>
        <v>1344.5444999999997</v>
      </c>
      <c r="M8" s="18">
        <f>Production!J8+Production!K8</f>
        <v>1277.3172749999997</v>
      </c>
      <c r="N8" s="18">
        <f>Production!K8+Production!L8</f>
        <v>1213.4514112499996</v>
      </c>
      <c r="O8" s="18">
        <f>Production!L8+Production!M8</f>
        <v>1152.7788406874995</v>
      </c>
      <c r="P8" s="18">
        <f>Production!M8+Production!N8</f>
        <v>1095.1398986531244</v>
      </c>
      <c r="Q8" s="18">
        <f>Production!N8+Production!O8</f>
        <v>1040.3829037204682</v>
      </c>
      <c r="R8" s="18">
        <f>Production!O8+Production!P8</f>
        <v>988.36375853444474</v>
      </c>
      <c r="S8" s="18">
        <f>Production!P8+Production!Q8</f>
        <v>938.94557060772252</v>
      </c>
      <c r="T8" s="18">
        <f>Production!Q8+Production!R8</f>
        <v>891.99829207733637</v>
      </c>
      <c r="U8" s="18">
        <f>Production!R8+Production!S8</f>
        <v>847.39837747346951</v>
      </c>
      <c r="V8" s="18">
        <f>Production!S8+Production!T8</f>
        <v>805.02845859979595</v>
      </c>
      <c r="W8" s="18">
        <f>Production!T8+Production!U8</f>
        <v>764.77703566980608</v>
      </c>
      <c r="X8" s="18">
        <f>Production!U8+Production!V8</f>
        <v>726.53818388631566</v>
      </c>
      <c r="Y8" s="16">
        <v>1</v>
      </c>
    </row>
    <row r="9" spans="1:47" x14ac:dyDescent="0.3">
      <c r="A9" s="36" t="s">
        <v>78</v>
      </c>
      <c r="B9" s="18"/>
      <c r="C9" s="22"/>
      <c r="D9" s="18">
        <f>Production!B9*2</f>
        <v>0</v>
      </c>
      <c r="E9" s="18">
        <f>Production!B9+Production!C9</f>
        <v>0</v>
      </c>
      <c r="F9" s="18">
        <f>Production!C9+Production!D9</f>
        <v>10</v>
      </c>
      <c r="G9" s="18">
        <f>Production!D9+Production!E9</f>
        <v>60</v>
      </c>
      <c r="H9" s="18">
        <f>Production!E9+Production!F9</f>
        <v>150</v>
      </c>
      <c r="I9" s="18">
        <f>Production!F9+Production!G9</f>
        <v>243.333333333333</v>
      </c>
      <c r="J9" s="18">
        <f>Production!G9+Production!H9</f>
        <v>331.666666666666</v>
      </c>
      <c r="K9" s="18">
        <f>Production!H9+Production!I9</f>
        <v>421.666666666666</v>
      </c>
      <c r="L9" s="18">
        <f>Production!I9+Production!J9</f>
        <v>511.66666666666595</v>
      </c>
      <c r="M9" s="18">
        <f>Production!J9+Production!K9</f>
        <v>601.66666666666595</v>
      </c>
      <c r="N9" s="18">
        <f>Production!K9+Production!L9</f>
        <v>691.66666666666595</v>
      </c>
      <c r="O9" s="18">
        <f>Production!L9+Production!M9</f>
        <v>795.59999999999923</v>
      </c>
      <c r="P9" s="18">
        <f>Production!M9+Production!N9</f>
        <v>922.89599999999893</v>
      </c>
      <c r="Q9" s="18">
        <f>Production!N9+Production!O9</f>
        <v>1070.5593599999988</v>
      </c>
      <c r="R9" s="18">
        <f>Production!O9+Production!P9</f>
        <v>1241.8488575999986</v>
      </c>
      <c r="S9" s="18">
        <f>Production!P9+Production!Q9</f>
        <v>1440.5446748159982</v>
      </c>
      <c r="T9" s="18">
        <f>Production!Q9+Production!R9</f>
        <v>1671.0318227865578</v>
      </c>
      <c r="U9" s="18">
        <f>Production!R9+Production!S9</f>
        <v>1938.3969144324069</v>
      </c>
      <c r="V9" s="18">
        <f>Production!S9+Production!T9</f>
        <v>2248.5404207415913</v>
      </c>
      <c r="W9" s="18">
        <f>Production!T9+Production!U9</f>
        <v>2608.3068880602459</v>
      </c>
      <c r="X9" s="18">
        <f>Production!U9+Production!V9</f>
        <v>3025.6359901498849</v>
      </c>
      <c r="Y9" s="16">
        <v>10</v>
      </c>
    </row>
    <row r="10" spans="1:47" x14ac:dyDescent="0.3">
      <c r="B10" s="11"/>
      <c r="C10" s="1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AC10" s="17"/>
      <c r="AD10" s="17"/>
      <c r="AE10" s="17"/>
      <c r="AF10" s="17"/>
      <c r="AG10" s="17"/>
      <c r="AH10" s="17"/>
      <c r="AI10" s="17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47" x14ac:dyDescent="0.3">
      <c r="A11" s="36" t="s">
        <v>79</v>
      </c>
      <c r="B11" s="11"/>
      <c r="C11" s="11"/>
      <c r="D11" s="18">
        <f>Production!B13*10</f>
        <v>2500</v>
      </c>
      <c r="E11" s="18">
        <f>Production!B13*9+Production!C13</f>
        <v>2503.75</v>
      </c>
      <c r="F11" s="18">
        <f>Production!B13*8+Production!C13+Production!D13</f>
        <v>2511.3062500000001</v>
      </c>
      <c r="G11" s="18">
        <f>Production!B13*7+Production!C13+Production!D13+Production!E13</f>
        <v>2522.72584375</v>
      </c>
      <c r="H11" s="18">
        <f>Production!B13*6+Production!C13+Production!D13+Production!E13+Production!F13</f>
        <v>2538.0667314062493</v>
      </c>
      <c r="I11" s="18">
        <f>Production!B13*5+Production!C13+Production!D13+Production!E13+Production!F13+Production!G13</f>
        <v>2557.3877323773431</v>
      </c>
      <c r="J11" s="18">
        <f>Production!B13*4+Production!C13+Production!D13+Production!E13+Production!F13+Production!G13+Production!H13</f>
        <v>2580.748548363003</v>
      </c>
      <c r="K11" s="18">
        <f>Production!B13*3+Production!C13+Production!D13+Production!E13+Production!F13+Production!G13+Production!H13+Production!I13</f>
        <v>2608.2097765884478</v>
      </c>
      <c r="L11" s="18">
        <f>Production!B13*2+Production!C13+Production!D13+Production!E13+Production!F13+Production!G13+Production!H13+Production!I13+Production!J13</f>
        <v>2639.8329232372744</v>
      </c>
      <c r="M11" s="18">
        <f>SUM(Production!B13:K13)</f>
        <v>2675.6804170858331</v>
      </c>
      <c r="N11" s="18">
        <f>SUM(Production!C13:L13)</f>
        <v>2715.8156233421205</v>
      </c>
      <c r="O11" s="18">
        <f>SUM(Production!D13:M13)</f>
        <v>2756.552857692252</v>
      </c>
      <c r="P11" s="18">
        <f>SUM(Production!E13:N13)</f>
        <v>2797.9011505576354</v>
      </c>
      <c r="Q11" s="18">
        <f>SUM(Production!F13:O13)</f>
        <v>2839.8696678159995</v>
      </c>
      <c r="R11" s="18">
        <f>SUM(Production!G13:P13)</f>
        <v>2882.4677128332391</v>
      </c>
      <c r="S11" s="18">
        <f>SUM(Production!H13:Q13)</f>
        <v>2925.7047285257372</v>
      </c>
      <c r="T11" s="18">
        <f>SUM(Production!I13:R13)</f>
        <v>2969.5902994536236</v>
      </c>
      <c r="U11" s="18">
        <f>SUM(Production!J13:S13)</f>
        <v>3014.1341539454279</v>
      </c>
      <c r="V11" s="18">
        <f>SUM(Production!K13:T13)</f>
        <v>3059.3461662546088</v>
      </c>
      <c r="W11" s="18">
        <f>SUM(Production!L13:U13)</f>
        <v>3105.2363587484278</v>
      </c>
      <c r="X11" s="18">
        <f>SUM(Production!M13:V13)</f>
        <v>3151.8149041296538</v>
      </c>
      <c r="Y11">
        <v>200</v>
      </c>
      <c r="Z11" t="s">
        <v>36</v>
      </c>
      <c r="AC11" s="17"/>
      <c r="AD11" s="17"/>
      <c r="AE11" s="17"/>
      <c r="AF11" s="17"/>
      <c r="AG11" s="17"/>
      <c r="AH11" s="17"/>
      <c r="AI11" s="17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47" x14ac:dyDescent="0.3">
      <c r="A12" s="36" t="s">
        <v>80</v>
      </c>
      <c r="B12" s="11"/>
      <c r="C12" s="11"/>
      <c r="D12" s="18">
        <f>Production!B14*10</f>
        <v>950</v>
      </c>
      <c r="E12" s="18">
        <f>Production!B14*9+Production!C14</f>
        <v>951.42499999999995</v>
      </c>
      <c r="F12" s="18">
        <f>Production!B14*8+Production!C14+Production!D14</f>
        <v>954.2963749999999</v>
      </c>
      <c r="G12" s="18">
        <f>Production!B14*7+Production!C14+Production!D14+Production!E14</f>
        <v>958.63582062499984</v>
      </c>
      <c r="H12" s="18">
        <f>Production!B14*6+Production!C14+Production!D14+Production!E14+Production!F14</f>
        <v>964.46535793437477</v>
      </c>
      <c r="I12" s="18">
        <f>Production!B14*5+Production!C14+Production!D14+Production!E14+Production!F14+Production!G14</f>
        <v>971.80733830339034</v>
      </c>
      <c r="J12" s="18">
        <f>Production!B14*4+Production!C14+Production!D14+Production!E14+Production!F14+Production!G14+Production!H14</f>
        <v>980.68444837794118</v>
      </c>
      <c r="K12" s="18">
        <f>Production!B14*3+Production!C14+Production!D14+Production!E14+Production!F14+Production!G14+Production!H14+Production!I14</f>
        <v>991.11971510361025</v>
      </c>
      <c r="L12" s="18">
        <f>Production!B14*2+Production!C14+Production!D14+Production!E14+Production!F14+Production!G14+Production!H14+Production!I14+Production!J14</f>
        <v>1003.1365108301643</v>
      </c>
      <c r="M12" s="18">
        <f>SUM(Production!B14:K14)</f>
        <v>1016.7585584926167</v>
      </c>
      <c r="N12" s="18">
        <f>SUM(Production!C14:L14)</f>
        <v>1032.0099368700057</v>
      </c>
      <c r="O12" s="18">
        <f>SUM(Production!D14:M14)</f>
        <v>1047.4900859230556</v>
      </c>
      <c r="P12" s="18">
        <f>SUM(Production!E14:N14)</f>
        <v>1063.2024372119015</v>
      </c>
      <c r="Q12" s="18">
        <f>SUM(Production!F14:O14)</f>
        <v>1079.1504737700798</v>
      </c>
      <c r="R12" s="18">
        <f>SUM(Production!G14:P14)</f>
        <v>1095.337730876631</v>
      </c>
      <c r="S12" s="18">
        <f>SUM(Production!H14:Q14)</f>
        <v>1111.7677968397802</v>
      </c>
      <c r="T12" s="18">
        <f>SUM(Production!I14:R14)</f>
        <v>1128.4443137923768</v>
      </c>
      <c r="U12" s="18">
        <f>SUM(Production!J14:S14)</f>
        <v>1145.3709784992625</v>
      </c>
      <c r="V12" s="18">
        <f>SUM(Production!K14:T14)</f>
        <v>1162.5515431767515</v>
      </c>
      <c r="W12" s="18">
        <f>SUM(Production!L14:U14)</f>
        <v>1179.9898163244027</v>
      </c>
      <c r="X12" s="18">
        <f>SUM(Production!M14:V14)</f>
        <v>1197.6896635692685</v>
      </c>
      <c r="Y12">
        <v>100</v>
      </c>
      <c r="Z12">
        <v>0.38</v>
      </c>
      <c r="AC12" s="17"/>
      <c r="AD12" s="17"/>
      <c r="AE12" s="17"/>
      <c r="AF12" s="17"/>
      <c r="AG12" s="17"/>
      <c r="AH12" s="17"/>
      <c r="AI12" s="17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47" x14ac:dyDescent="0.3">
      <c r="A13" s="36" t="s">
        <v>81</v>
      </c>
      <c r="B13" s="11"/>
      <c r="C13" s="11"/>
      <c r="D13" s="18">
        <f>Production!B15*10</f>
        <v>500</v>
      </c>
      <c r="E13" s="18">
        <f>Production!B15*9+Production!C15</f>
        <v>500.75</v>
      </c>
      <c r="F13" s="18">
        <f>Production!B15*8+Production!C15+Production!D15</f>
        <v>502.26125000000002</v>
      </c>
      <c r="G13" s="18">
        <f>Production!B15*7+Production!C15+Production!D15+Production!E15</f>
        <v>504.54516875000002</v>
      </c>
      <c r="H13" s="18">
        <f>Production!B15*6+Production!C15+Production!D15+Production!E15+Production!F15</f>
        <v>507.61334628124996</v>
      </c>
      <c r="I13" s="18">
        <f>Production!B15*5+Production!C15+Production!D15+Production!E15+Production!F15+Production!G15</f>
        <v>511.47754647546867</v>
      </c>
      <c r="J13" s="18">
        <f>Production!B15*4+Production!C15+Production!D15+Production!E15+Production!F15+Production!G15+Production!H15</f>
        <v>516.14970967260069</v>
      </c>
      <c r="K13" s="18">
        <f>Production!B15*3+Production!C15+Production!D15+Production!E15+Production!F15+Production!G15+Production!H15+Production!I15</f>
        <v>521.64195531768962</v>
      </c>
      <c r="L13" s="18">
        <f>Production!B15*2+Production!C15+Production!D15+Production!E15+Production!F15+Production!G15+Production!H15+Production!I15+Production!J15</f>
        <v>527.96658464745497</v>
      </c>
      <c r="M13" s="18">
        <f>SUM(Production!B15:K15)</f>
        <v>535.13608341716667</v>
      </c>
      <c r="N13" s="18">
        <f>SUM(Production!C15:L15)</f>
        <v>543.16312466842419</v>
      </c>
      <c r="O13" s="18">
        <f>SUM(Production!D15:M15)</f>
        <v>551.3105715384504</v>
      </c>
      <c r="P13" s="18">
        <f>SUM(Production!E15:N15)</f>
        <v>559.58023011152704</v>
      </c>
      <c r="Q13" s="18">
        <f>SUM(Production!F15:O15)</f>
        <v>567.97393356320003</v>
      </c>
      <c r="R13" s="18">
        <f>SUM(Production!G15:P15)</f>
        <v>576.49354256664787</v>
      </c>
      <c r="S13" s="18">
        <f>SUM(Production!H15:Q15)</f>
        <v>585.14094570514749</v>
      </c>
      <c r="T13" s="18">
        <f>SUM(Production!I15:R15)</f>
        <v>593.91805989072463</v>
      </c>
      <c r="U13" s="18">
        <f>SUM(Production!J15:S15)</f>
        <v>602.82683078908553</v>
      </c>
      <c r="V13" s="18">
        <f>SUM(Production!K15:T15)</f>
        <v>611.86923325092187</v>
      </c>
      <c r="W13" s="18">
        <f>SUM(Production!L15:U15)</f>
        <v>621.04727174968559</v>
      </c>
      <c r="X13" s="18">
        <f>SUM(Production!M15:V15)</f>
        <v>630.36298082593078</v>
      </c>
      <c r="Y13">
        <v>102</v>
      </c>
      <c r="Z13">
        <v>0.2</v>
      </c>
      <c r="AC13" s="17"/>
      <c r="AD13" s="17"/>
      <c r="AE13" s="17"/>
      <c r="AF13" s="17"/>
      <c r="AG13" s="17"/>
      <c r="AH13" s="17"/>
      <c r="AI13" s="17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</row>
    <row r="14" spans="1:47" x14ac:dyDescent="0.3">
      <c r="A14" s="36" t="s">
        <v>82</v>
      </c>
      <c r="B14" s="11"/>
      <c r="C14" s="11"/>
      <c r="D14" s="18">
        <f>Production!B16*10</f>
        <v>750</v>
      </c>
      <c r="E14" s="18">
        <f>Production!B16*9+Production!C16</f>
        <v>751.125</v>
      </c>
      <c r="F14" s="18">
        <f>Production!B16*8+Production!C16+Production!D16</f>
        <v>753.39187500000003</v>
      </c>
      <c r="G14" s="18">
        <f>Production!B16*7+Production!C16+Production!D16+Production!E16</f>
        <v>756.81775312499997</v>
      </c>
      <c r="H14" s="18">
        <f>Production!B16*6+Production!C16+Production!D16+Production!E16+Production!F16</f>
        <v>761.42001942187494</v>
      </c>
      <c r="I14" s="18">
        <f>Production!B16*5+Production!C16+Production!D16+Production!E16+Production!F16+Production!G16</f>
        <v>767.21631971320301</v>
      </c>
      <c r="J14" s="18">
        <f>Production!B16*4+Production!C16+Production!D16+Production!E16+Production!F16+Production!G16+Production!H16</f>
        <v>774.22456450890104</v>
      </c>
      <c r="K14" s="18">
        <f>Production!B16*3+Production!C16+Production!D16+Production!E16+Production!F16+Production!G16+Production!H16+Production!I16</f>
        <v>782.46293297653426</v>
      </c>
      <c r="L14" s="18">
        <f>Production!B16*2+Production!C16+Production!D16+Production!E16+Production!F16+Production!G16+Production!H16+Production!I16+Production!J16</f>
        <v>791.94987697118222</v>
      </c>
      <c r="M14" s="18">
        <f>SUM(Production!B16:K16)</f>
        <v>802.7041251257499</v>
      </c>
      <c r="N14" s="18">
        <f>SUM(Production!C16:L16)</f>
        <v>814.74468700263606</v>
      </c>
      <c r="O14" s="18">
        <f>SUM(Production!D16:M16)</f>
        <v>826.96585730767549</v>
      </c>
      <c r="P14" s="18">
        <f>SUM(Production!E16:N16)</f>
        <v>839.37034516729057</v>
      </c>
      <c r="Q14" s="18">
        <f>SUM(Production!F16:O16)</f>
        <v>851.96090034479982</v>
      </c>
      <c r="R14" s="18">
        <f>SUM(Production!G16:P16)</f>
        <v>864.7403138499717</v>
      </c>
      <c r="S14" s="18">
        <f>SUM(Production!H16:Q16)</f>
        <v>877.71141855772123</v>
      </c>
      <c r="T14" s="18">
        <f>SUM(Production!I16:R16)</f>
        <v>890.87708983608695</v>
      </c>
      <c r="U14" s="18">
        <f>SUM(Production!J16:S16)</f>
        <v>904.2402461836283</v>
      </c>
      <c r="V14" s="18">
        <f>SUM(Production!K16:T16)</f>
        <v>917.80384987638274</v>
      </c>
      <c r="W14" s="18">
        <f>SUM(Production!L16:U16)</f>
        <v>931.57090762452845</v>
      </c>
      <c r="X14" s="18">
        <f>SUM(Production!M16:V16)</f>
        <v>945.54447123889634</v>
      </c>
      <c r="Y14">
        <v>65</v>
      </c>
      <c r="Z14">
        <v>0.3</v>
      </c>
      <c r="AC14" s="17"/>
      <c r="AD14" s="17"/>
      <c r="AE14" s="17"/>
      <c r="AF14" s="17"/>
      <c r="AG14" s="17"/>
      <c r="AH14" s="17"/>
      <c r="AI14" s="17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</row>
    <row r="15" spans="1:47" x14ac:dyDescent="0.3">
      <c r="A15" s="36" t="s">
        <v>83</v>
      </c>
      <c r="B15" s="11"/>
      <c r="C15" s="11"/>
      <c r="D15" s="18">
        <f>Production!B17*10</f>
        <v>875</v>
      </c>
      <c r="E15" s="18">
        <f>Production!B17*9+Production!C17</f>
        <v>876.3125</v>
      </c>
      <c r="F15" s="18">
        <f>Production!B17*8+Production!C17+Production!D17</f>
        <v>878.95718749999992</v>
      </c>
      <c r="G15" s="18">
        <f>Production!B17*7+Production!C17+Production!D17+Production!E17</f>
        <v>882.95404531249983</v>
      </c>
      <c r="H15" s="18">
        <f>Production!B17*6+Production!C17+Production!D17+Production!E17+Production!F17</f>
        <v>888.32335599218732</v>
      </c>
      <c r="I15" s="18">
        <f>Production!B17*5+Production!C17+Production!D17+Production!E17+Production!F17+Production!G17</f>
        <v>895.08570633207</v>
      </c>
      <c r="J15" s="18">
        <f>Production!B17*4+Production!C17+Production!D17+Production!E17+Production!F17+Production!G17+Production!H17</f>
        <v>903.26199192705099</v>
      </c>
      <c r="K15" s="18">
        <f>Production!B17*3+Production!C17+Production!D17+Production!E17+Production!F17+Production!G17+Production!H17+Production!I17</f>
        <v>912.8734218059567</v>
      </c>
      <c r="L15" s="18">
        <f>Production!B17*2+Production!C17+Production!D17+Production!E17+Production!F17+Production!G17+Production!H17+Production!I17+Production!J17</f>
        <v>923.94152313304596</v>
      </c>
      <c r="M15" s="18">
        <f>SUM(Production!B17:K17)</f>
        <v>936.48814598004162</v>
      </c>
      <c r="N15" s="18">
        <f>SUM(Production!C17:L17)</f>
        <v>950.53546816974199</v>
      </c>
      <c r="O15" s="18">
        <f>SUM(Production!D17:M17)</f>
        <v>964.79350019228798</v>
      </c>
      <c r="P15" s="18">
        <f>SUM(Production!E17:N17)</f>
        <v>979.26540269517227</v>
      </c>
      <c r="Q15" s="18">
        <f>SUM(Production!F17:O17)</f>
        <v>993.95438373559978</v>
      </c>
      <c r="R15" s="18">
        <f>SUM(Production!G17:P17)</f>
        <v>1008.8636994916337</v>
      </c>
      <c r="S15" s="18">
        <f>SUM(Production!H17:Q17)</f>
        <v>1023.996654984008</v>
      </c>
      <c r="T15" s="18">
        <f>SUM(Production!I17:R17)</f>
        <v>1039.356604808768</v>
      </c>
      <c r="U15" s="18">
        <f>SUM(Production!J17:S17)</f>
        <v>1054.9469538808994</v>
      </c>
      <c r="V15" s="18">
        <f>SUM(Production!K17:T17)</f>
        <v>1070.7711581891128</v>
      </c>
      <c r="W15" s="18">
        <f>SUM(Production!L17:U17)</f>
        <v>1086.8327255619497</v>
      </c>
      <c r="X15" s="18">
        <f>SUM(Production!M17:V17)</f>
        <v>1103.1352164453788</v>
      </c>
      <c r="Y15">
        <v>28</v>
      </c>
      <c r="Z15">
        <v>0.35</v>
      </c>
      <c r="AC15" s="17"/>
      <c r="AD15" s="17"/>
      <c r="AE15" s="17"/>
      <c r="AF15" s="17"/>
      <c r="AG15" s="17"/>
      <c r="AH15" s="17"/>
      <c r="AI15" s="17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47" x14ac:dyDescent="0.3">
      <c r="H16" s="1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1:25" x14ac:dyDescent="0.3">
      <c r="B17" s="7" t="s">
        <v>9</v>
      </c>
    </row>
    <row r="18" spans="1:25" x14ac:dyDescent="0.3">
      <c r="A18" t="s">
        <v>1</v>
      </c>
      <c r="D18" s="18">
        <f>D3*$Y$3/1000</f>
        <v>160.6</v>
      </c>
      <c r="E18" s="18">
        <f>E3*$Y$3/1000*AB4</f>
        <v>156.2088</v>
      </c>
      <c r="F18" s="18">
        <f>F3*$Y$3/1000*AC4</f>
        <v>152.55752599999997</v>
      </c>
      <c r="G18" s="18">
        <f t="shared" ref="G18:W18" si="4">G3*$Y$3/1000*AD4</f>
        <v>148.3783605788</v>
      </c>
      <c r="H18" s="18">
        <f t="shared" si="4"/>
        <v>143.73621853736725</v>
      </c>
      <c r="I18" s="18">
        <f t="shared" si="4"/>
        <v>138.69111510553682</v>
      </c>
      <c r="J18" s="18">
        <f t="shared" si="4"/>
        <v>132.93196691218623</v>
      </c>
      <c r="K18" s="18">
        <f t="shared" si="4"/>
        <v>126.36512774672423</v>
      </c>
      <c r="L18" s="18">
        <f t="shared" si="4"/>
        <v>120.12269043603607</v>
      </c>
      <c r="M18" s="18">
        <f t="shared" si="4"/>
        <v>114.18862952849585</v>
      </c>
      <c r="N18" s="18">
        <f>N3*$Y$3/1000*AK4</f>
        <v>110.78580836854665</v>
      </c>
      <c r="O18" s="18">
        <f t="shared" si="4"/>
        <v>107.48439127916397</v>
      </c>
      <c r="P18" s="18">
        <f t="shared" si="4"/>
        <v>104.28135641904488</v>
      </c>
      <c r="Q18" s="18">
        <f>Q3*$Y$3/1000*AN4</f>
        <v>101.17377199775736</v>
      </c>
      <c r="R18" s="18">
        <f t="shared" si="4"/>
        <v>98.158793592224171</v>
      </c>
      <c r="S18" s="18">
        <f t="shared" si="4"/>
        <v>95.233661543175913</v>
      </c>
      <c r="T18" s="18">
        <f t="shared" si="4"/>
        <v>92.395698429189281</v>
      </c>
      <c r="U18" s="18">
        <f t="shared" si="4"/>
        <v>89.642306615999459</v>
      </c>
      <c r="V18" s="18">
        <f t="shared" si="4"/>
        <v>86.970965878842676</v>
      </c>
      <c r="W18" s="18">
        <f t="shared" si="4"/>
        <v>84.379231095653168</v>
      </c>
      <c r="X18" s="18">
        <f>X3*$Y$3/1000*AU4</f>
        <v>81.864730009002699</v>
      </c>
      <c r="Y18" s="40"/>
    </row>
    <row r="19" spans="1:25" x14ac:dyDescent="0.3">
      <c r="A19" t="s">
        <v>2</v>
      </c>
      <c r="D19" s="18">
        <f>D4*$Y$4/1000</f>
        <v>78.569999999999993</v>
      </c>
      <c r="E19" s="18">
        <f>E4*$Y$4/1000*AB4</f>
        <v>76.495170000000002</v>
      </c>
      <c r="F19" s="18">
        <f t="shared" ref="F19:X19" si="5">F4*$Y$4/1000*AC4</f>
        <v>74.839185999999998</v>
      </c>
      <c r="G19" s="18">
        <f t="shared" si="5"/>
        <v>72.91448641721999</v>
      </c>
      <c r="H19" s="18">
        <f t="shared" si="5"/>
        <v>70.753466483333924</v>
      </c>
      <c r="I19" s="18">
        <f t="shared" si="5"/>
        <v>68.386089333731107</v>
      </c>
      <c r="J19" s="18">
        <f t="shared" si="5"/>
        <v>65.597643997335013</v>
      </c>
      <c r="K19" s="18">
        <f t="shared" si="5"/>
        <v>62.357120383866658</v>
      </c>
      <c r="L19" s="18">
        <f t="shared" si="5"/>
        <v>59.276678636903654</v>
      </c>
      <c r="M19" s="18">
        <f t="shared" si="5"/>
        <v>56.348410712240593</v>
      </c>
      <c r="N19" s="18">
        <f t="shared" si="5"/>
        <v>54.66922807301583</v>
      </c>
      <c r="O19" s="18">
        <f t="shared" si="5"/>
        <v>53.040085076439965</v>
      </c>
      <c r="P19" s="18">
        <f t="shared" si="5"/>
        <v>51.459490541162047</v>
      </c>
      <c r="Q19" s="18">
        <f t="shared" si="5"/>
        <v>49.925997723035415</v>
      </c>
      <c r="R19" s="18">
        <f t="shared" si="5"/>
        <v>48.438202990888946</v>
      </c>
      <c r="S19" s="18">
        <f t="shared" si="5"/>
        <v>46.994744541760447</v>
      </c>
      <c r="T19" s="18">
        <f t="shared" si="5"/>
        <v>45.594301154416002</v>
      </c>
      <c r="U19" s="18">
        <f t="shared" si="5"/>
        <v>44.235590980014386</v>
      </c>
      <c r="V19" s="18">
        <f t="shared" si="5"/>
        <v>42.917370368809948</v>
      </c>
      <c r="W19" s="18">
        <f t="shared" si="5"/>
        <v>41.638432731819407</v>
      </c>
      <c r="X19" s="18">
        <f t="shared" si="5"/>
        <v>40.397607436411185</v>
      </c>
      <c r="Y19" s="40"/>
    </row>
    <row r="20" spans="1:25" x14ac:dyDescent="0.3">
      <c r="A20" t="s">
        <v>3</v>
      </c>
      <c r="D20" s="18">
        <f>D5*$Y$5/1000</f>
        <v>80.400000000000006</v>
      </c>
      <c r="E20" s="18">
        <f>E5*$Y$5/1000*AB4</f>
        <v>79.074399999999997</v>
      </c>
      <c r="F20" s="18">
        <f t="shared" ref="F20:O20" si="6">F5*$Y$5/1000*AC4</f>
        <v>80.089408000000006</v>
      </c>
      <c r="G20" s="18">
        <f t="shared" si="6"/>
        <v>83.746874480000002</v>
      </c>
      <c r="H20" s="18">
        <f t="shared" si="6"/>
        <v>90.512336894399994</v>
      </c>
      <c r="I20" s="18">
        <f t="shared" si="6"/>
        <v>100.36883292381599</v>
      </c>
      <c r="J20" s="18">
        <f t="shared" si="6"/>
        <v>112.55117730600648</v>
      </c>
      <c r="K20" s="18">
        <f t="shared" si="6"/>
        <v>126.30808654016944</v>
      </c>
      <c r="L20" s="18">
        <f t="shared" si="6"/>
        <v>141.67905722639722</v>
      </c>
      <c r="M20" s="18">
        <f t="shared" si="6"/>
        <v>158.60421537744332</v>
      </c>
      <c r="N20" s="18">
        <f t="shared" si="6"/>
        <v>181.14336129709719</v>
      </c>
      <c r="O20" s="18">
        <f t="shared" si="6"/>
        <v>192.21522285773804</v>
      </c>
      <c r="P20" s="18">
        <f t="shared" ref="P20:X20" si="7">P5*$Y$5/1000*AM4</f>
        <v>192.80737444664533</v>
      </c>
      <c r="Q20" s="18">
        <f t="shared" si="7"/>
        <v>183.60553338192921</v>
      </c>
      <c r="R20" s="18">
        <f t="shared" si="7"/>
        <v>165.02514445254144</v>
      </c>
      <c r="S20" s="18">
        <f t="shared" si="7"/>
        <v>137.23491012673344</v>
      </c>
      <c r="T20" s="18">
        <f t="shared" si="7"/>
        <v>114.1245512613915</v>
      </c>
      <c r="U20" s="18">
        <f t="shared" si="7"/>
        <v>94.905976828973152</v>
      </c>
      <c r="V20" s="18">
        <f t="shared" si="7"/>
        <v>78.923810330974035</v>
      </c>
      <c r="W20" s="18">
        <f t="shared" si="7"/>
        <v>65.633040671238007</v>
      </c>
      <c r="X20" s="18">
        <f t="shared" si="7"/>
        <v>54.580436622201503</v>
      </c>
      <c r="Y20" s="40"/>
    </row>
    <row r="21" spans="1:25" x14ac:dyDescent="0.3">
      <c r="A21" t="s">
        <v>4</v>
      </c>
      <c r="D21" s="315">
        <f>D6*$Y$6/1000</f>
        <v>3.5</v>
      </c>
      <c r="E21" s="315">
        <f>E6*$Y$6/1000*AB4</f>
        <v>3.9284999999999997</v>
      </c>
      <c r="F21" s="315">
        <f>F6*$Y$6/1000*AC4</f>
        <v>5.4572199999999995</v>
      </c>
      <c r="G21" s="18">
        <f t="shared" ref="G21:X21" si="8">G6*$Y$6/1000*AD4</f>
        <v>7.3013839999999997</v>
      </c>
      <c r="H21" s="18">
        <f t="shared" si="8"/>
        <v>9.1849129037499999</v>
      </c>
      <c r="I21" s="18">
        <f t="shared" si="8"/>
        <v>11.013263879602498</v>
      </c>
      <c r="J21" s="18">
        <f t="shared" si="8"/>
        <v>11.867768640225927</v>
      </c>
      <c r="K21" s="18">
        <f t="shared" si="8"/>
        <v>12.087322360070107</v>
      </c>
      <c r="L21" s="18">
        <f t="shared" si="8"/>
        <v>12.310937823731404</v>
      </c>
      <c r="M21" s="18">
        <f t="shared" si="8"/>
        <v>12.538690173470433</v>
      </c>
      <c r="N21" s="18">
        <f t="shared" si="8"/>
        <v>13.033968435322517</v>
      </c>
      <c r="O21" s="18">
        <f t="shared" si="8"/>
        <v>13.218234527125677</v>
      </c>
      <c r="P21" s="18">
        <f t="shared" si="8"/>
        <v>13.085936474311202</v>
      </c>
      <c r="Q21" s="18">
        <f t="shared" si="8"/>
        <v>12.955077109568089</v>
      </c>
      <c r="R21" s="18">
        <f t="shared" si="8"/>
        <v>12.825526338472407</v>
      </c>
      <c r="S21" s="18">
        <f t="shared" si="8"/>
        <v>12.697271075087684</v>
      </c>
      <c r="T21" s="18">
        <f t="shared" si="8"/>
        <v>12.570298364336807</v>
      </c>
      <c r="U21" s="18">
        <f t="shared" si="8"/>
        <v>12.444595380693439</v>
      </c>
      <c r="V21" s="18">
        <f t="shared" si="8"/>
        <v>12.320149426886504</v>
      </c>
      <c r="W21" s="18">
        <f t="shared" si="8"/>
        <v>12.196947932617638</v>
      </c>
      <c r="X21" s="18">
        <f t="shared" si="8"/>
        <v>12.074978453291461</v>
      </c>
      <c r="Y21" s="40"/>
    </row>
    <row r="22" spans="1:25" x14ac:dyDescent="0.3">
      <c r="A22" t="s">
        <v>5</v>
      </c>
      <c r="D22" s="18">
        <f>D7*$Y$7/1000</f>
        <v>1.5</v>
      </c>
      <c r="E22" s="18">
        <f>E7*$Y$7/1000*AB4</f>
        <v>2.1825000000000001</v>
      </c>
      <c r="F22" s="18">
        <f t="shared" ref="F22:X22" si="9">F7*$Y$7/1000*AC4</f>
        <v>3.528375</v>
      </c>
      <c r="G22" s="18">
        <f t="shared" si="9"/>
        <v>4.8873639149999999</v>
      </c>
      <c r="H22" s="18">
        <f t="shared" si="9"/>
        <v>6.1483585654499997</v>
      </c>
      <c r="I22" s="18">
        <f t="shared" si="9"/>
        <v>7.4323429924334983</v>
      </c>
      <c r="J22" s="18">
        <f t="shared" si="9"/>
        <v>8.6231344380262396</v>
      </c>
      <c r="K22" s="18">
        <f t="shared" si="9"/>
        <v>9.6191064656182679</v>
      </c>
      <c r="L22" s="18">
        <f t="shared" si="9"/>
        <v>10.730113262397179</v>
      </c>
      <c r="M22" s="18">
        <f t="shared" si="9"/>
        <v>11.96944134420405</v>
      </c>
      <c r="N22" s="18">
        <f t="shared" si="9"/>
        <v>12.671607645399968</v>
      </c>
      <c r="O22" s="18">
        <f t="shared" si="9"/>
        <v>12.540074411684918</v>
      </c>
      <c r="P22" s="18">
        <f t="shared" si="9"/>
        <v>12.414673667568067</v>
      </c>
      <c r="Q22" s="18">
        <f t="shared" si="9"/>
        <v>12.290526930892387</v>
      </c>
      <c r="R22" s="18">
        <f t="shared" si="9"/>
        <v>12.167621661583462</v>
      </c>
      <c r="S22" s="18">
        <f t="shared" si="9"/>
        <v>12.045945444967627</v>
      </c>
      <c r="T22" s="18">
        <f t="shared" si="9"/>
        <v>11.925485990517952</v>
      </c>
      <c r="U22" s="18">
        <f t="shared" si="9"/>
        <v>11.806231130612773</v>
      </c>
      <c r="V22" s="18">
        <f t="shared" si="9"/>
        <v>11.688168819306643</v>
      </c>
      <c r="W22" s="18">
        <f t="shared" si="9"/>
        <v>11.571287131113577</v>
      </c>
      <c r="X22" s="18">
        <f t="shared" si="9"/>
        <v>11.455574259802439</v>
      </c>
      <c r="Y22" s="40"/>
    </row>
    <row r="23" spans="1:25" x14ac:dyDescent="0.3">
      <c r="A23" s="36" t="s">
        <v>40</v>
      </c>
      <c r="D23" s="18">
        <f>D8*$Y$8/1000</f>
        <v>2.5</v>
      </c>
      <c r="E23" s="18">
        <f>E8*$Y$8/1000*AB4</f>
        <v>2.4346999999999999</v>
      </c>
      <c r="F23" s="18">
        <f t="shared" ref="F23:X23" si="10">F8*$Y$8/1000*AC4</f>
        <v>2.1734789999999999</v>
      </c>
      <c r="G23" s="18">
        <f t="shared" si="10"/>
        <v>1.7851883879999999</v>
      </c>
      <c r="H23" s="18">
        <f t="shared" si="10"/>
        <v>1.32705392219</v>
      </c>
      <c r="I23" s="18">
        <f t="shared" si="10"/>
        <v>1.1653020728749</v>
      </c>
      <c r="J23" s="18">
        <f t="shared" si="10"/>
        <v>1.2409616929432241</v>
      </c>
      <c r="K23" s="18">
        <f t="shared" si="10"/>
        <v>1.1435462000471808</v>
      </c>
      <c r="L23" s="18">
        <f t="shared" si="10"/>
        <v>1.0537778233434771</v>
      </c>
      <c r="M23" s="18">
        <f t="shared" si="10"/>
        <v>0.97105626421101399</v>
      </c>
      <c r="N23" s="18">
        <f t="shared" si="10"/>
        <v>0.9132784164904586</v>
      </c>
      <c r="O23" s="18">
        <f t="shared" si="10"/>
        <v>0.85893835070927615</v>
      </c>
      <c r="P23" s="18">
        <f t="shared" si="10"/>
        <v>0.80783151884207416</v>
      </c>
      <c r="Q23" s="18">
        <f t="shared" si="10"/>
        <v>0.75976554347097069</v>
      </c>
      <c r="R23" s="18">
        <f t="shared" si="10"/>
        <v>0.71455949363444782</v>
      </c>
      <c r="S23" s="18">
        <f t="shared" si="10"/>
        <v>0.67204320376319826</v>
      </c>
      <c r="T23" s="18">
        <f t="shared" si="10"/>
        <v>0.63205663313928795</v>
      </c>
      <c r="U23" s="18">
        <f t="shared" si="10"/>
        <v>0.59444926346750027</v>
      </c>
      <c r="V23" s="18">
        <f t="shared" si="10"/>
        <v>0.5590795322911839</v>
      </c>
      <c r="W23" s="18">
        <f t="shared" si="10"/>
        <v>0.5258143001198583</v>
      </c>
      <c r="X23" s="18">
        <f t="shared" si="10"/>
        <v>0.49452834926272665</v>
      </c>
      <c r="Y23" s="40"/>
    </row>
    <row r="24" spans="1:25" x14ac:dyDescent="0.3">
      <c r="A24" s="36" t="s">
        <v>62</v>
      </c>
      <c r="D24" s="18">
        <f>D9*$Y$9/1000</f>
        <v>0</v>
      </c>
      <c r="E24" s="18">
        <f>E9*$Y$9/1000*AB4</f>
        <v>0</v>
      </c>
      <c r="F24" s="18">
        <f t="shared" ref="F24:X24" si="11">F9*$Y$9/1000*AC4</f>
        <v>9.4090000000000007E-2</v>
      </c>
      <c r="G24" s="18">
        <f t="shared" si="11"/>
        <v>0.54760379999999997</v>
      </c>
      <c r="H24" s="18">
        <f t="shared" si="11"/>
        <v>1.3279392149999998</v>
      </c>
      <c r="I24" s="18">
        <f t="shared" si="11"/>
        <v>2.0895861292033304</v>
      </c>
      <c r="J24" s="18">
        <f t="shared" si="11"/>
        <v>2.7626904830145111</v>
      </c>
      <c r="K24" s="18">
        <f t="shared" si="11"/>
        <v>3.4069943288270923</v>
      </c>
      <c r="L24" s="18">
        <f t="shared" si="11"/>
        <v>4.0101535224562062</v>
      </c>
      <c r="M24" s="18">
        <f t="shared" si="11"/>
        <v>4.5740568695716277</v>
      </c>
      <c r="N24" s="18">
        <f t="shared" si="11"/>
        <v>5.2056821741371291</v>
      </c>
      <c r="O24" s="18">
        <f t="shared" si="11"/>
        <v>5.9280351764328651</v>
      </c>
      <c r="P24" s="18">
        <f t="shared" si="11"/>
        <v>6.8077555966155012</v>
      </c>
      <c r="Q24" s="18">
        <f t="shared" si="11"/>
        <v>7.8180265271532416</v>
      </c>
      <c r="R24" s="18">
        <f t="shared" si="11"/>
        <v>8.9782216637827812</v>
      </c>
      <c r="S24" s="18">
        <f t="shared" si="11"/>
        <v>10.310589758688144</v>
      </c>
      <c r="T24" s="18">
        <f t="shared" si="11"/>
        <v>11.840681278877465</v>
      </c>
      <c r="U24" s="18">
        <f t="shared" si="11"/>
        <v>13.59783838066288</v>
      </c>
      <c r="V24" s="18">
        <f t="shared" si="11"/>
        <v>15.615757596353246</v>
      </c>
      <c r="W24" s="18">
        <f t="shared" si="11"/>
        <v>17.933136023652064</v>
      </c>
      <c r="X24" s="18">
        <f t="shared" si="11"/>
        <v>20.59441340956203</v>
      </c>
      <c r="Y24" s="40"/>
    </row>
    <row r="25" spans="1:25" x14ac:dyDescent="0.3">
      <c r="D25" s="14">
        <f>SUM(D18:D24)</f>
        <v>327.07</v>
      </c>
      <c r="E25" s="14">
        <f t="shared" ref="E25:W25" si="12">SUM(E18:E24)</f>
        <v>320.32407000000001</v>
      </c>
      <c r="F25" s="14">
        <f t="shared" si="12"/>
        <v>318.73928399999994</v>
      </c>
      <c r="G25" s="14">
        <f t="shared" si="12"/>
        <v>319.56126157901991</v>
      </c>
      <c r="H25" s="14">
        <f t="shared" si="12"/>
        <v>322.99028652149116</v>
      </c>
      <c r="I25" s="14">
        <f t="shared" si="12"/>
        <v>329.14653243719818</v>
      </c>
      <c r="J25" s="14">
        <f t="shared" si="12"/>
        <v>335.57534346973762</v>
      </c>
      <c r="K25" s="14">
        <f>SUM(K18:K24)</f>
        <v>341.28730402532295</v>
      </c>
      <c r="L25" s="14">
        <f t="shared" si="12"/>
        <v>349.18340873126522</v>
      </c>
      <c r="M25" s="14">
        <f t="shared" si="12"/>
        <v>359.19450026963693</v>
      </c>
      <c r="N25" s="14">
        <f>SUM(N18:N24)</f>
        <v>378.42293441000965</v>
      </c>
      <c r="O25" s="14">
        <f>SUM(O18:O24)</f>
        <v>385.28498167929467</v>
      </c>
      <c r="P25" s="14">
        <f t="shared" si="12"/>
        <v>381.6644186641891</v>
      </c>
      <c r="Q25" s="14">
        <f t="shared" si="12"/>
        <v>368.52869921380665</v>
      </c>
      <c r="R25" s="14">
        <f t="shared" si="12"/>
        <v>346.30807019312761</v>
      </c>
      <c r="S25" s="14">
        <f t="shared" si="12"/>
        <v>315.18916569417649</v>
      </c>
      <c r="T25" s="14">
        <f t="shared" si="12"/>
        <v>289.08307311186832</v>
      </c>
      <c r="U25" s="14">
        <f t="shared" si="12"/>
        <v>267.22698858042361</v>
      </c>
      <c r="V25" s="14">
        <f t="shared" si="12"/>
        <v>248.99530195346421</v>
      </c>
      <c r="W25" s="14">
        <f t="shared" si="12"/>
        <v>233.87788988621369</v>
      </c>
      <c r="X25" s="14">
        <f>SUM(X18:X24)</f>
        <v>221.46226853953405</v>
      </c>
      <c r="Y25" s="40"/>
    </row>
    <row r="26" spans="1:25" x14ac:dyDescent="0.3">
      <c r="A26" t="s">
        <v>6</v>
      </c>
      <c r="D26" s="18">
        <f>D11*$Y11/1000</f>
        <v>500</v>
      </c>
      <c r="E26" s="18">
        <f>E11*$Y11/1000*AB4</f>
        <v>485.72749999999996</v>
      </c>
      <c r="F26" s="18">
        <f t="shared" ref="F26:W26" si="13">F11*$Y11/1000*AC4</f>
        <v>472.57761012499998</v>
      </c>
      <c r="G26" s="18">
        <f t="shared" si="13"/>
        <v>460.48475279856876</v>
      </c>
      <c r="H26" s="18">
        <f t="shared" si="13"/>
        <v>449.38644572283073</v>
      </c>
      <c r="I26" s="145">
        <f>I11*$Y11/1000*AF4</f>
        <v>439.22317254003798</v>
      </c>
      <c r="J26" s="18">
        <f t="shared" si="13"/>
        <v>429.93825850950731</v>
      </c>
      <c r="K26" s="313">
        <f>K11*$Y11/1000*AH4</f>
        <v>421.47775101477794</v>
      </c>
      <c r="L26" s="18">
        <f t="shared" si="13"/>
        <v>413.79030472244295</v>
      </c>
      <c r="M26" s="145">
        <f t="shared" si="13"/>
        <v>406.82707122049021</v>
      </c>
      <c r="N26" s="18">
        <f>N11*$Y11/1000*AK4</f>
        <v>408.80018251590963</v>
      </c>
      <c r="O26" s="18">
        <f t="shared" si="13"/>
        <v>410.78286340111168</v>
      </c>
      <c r="P26" s="18">
        <f t="shared" si="13"/>
        <v>412.77516028860708</v>
      </c>
      <c r="Q26" s="18">
        <f t="shared" si="13"/>
        <v>414.77711981600669</v>
      </c>
      <c r="R26" s="18">
        <f t="shared" si="13"/>
        <v>416.78878884711429</v>
      </c>
      <c r="S26" s="18">
        <f t="shared" si="13"/>
        <v>418.81021447302271</v>
      </c>
      <c r="T26" s="18">
        <f t="shared" si="13"/>
        <v>420.84144401321691</v>
      </c>
      <c r="U26" s="18">
        <f t="shared" si="13"/>
        <v>422.88252501668103</v>
      </c>
      <c r="V26" s="18">
        <f t="shared" si="13"/>
        <v>424.9335052630118</v>
      </c>
      <c r="W26" s="18">
        <f t="shared" si="13"/>
        <v>426.9944327635373</v>
      </c>
      <c r="X26" s="18">
        <f>X11*$Y11/1000*AU4</f>
        <v>429.06535576244033</v>
      </c>
    </row>
    <row r="27" spans="1:25" x14ac:dyDescent="0.3">
      <c r="A27" t="s">
        <v>7</v>
      </c>
      <c r="D27" s="18">
        <f>D12*$Y12/1000</f>
        <v>95</v>
      </c>
      <c r="E27" s="18">
        <f>E12*$Y12/1000*AB4</f>
        <v>92.288224999999997</v>
      </c>
      <c r="F27" s="18">
        <f t="shared" ref="F27:X27" si="14">F12*$Y12/1000*AC4</f>
        <v>89.789745923749976</v>
      </c>
      <c r="G27" s="18">
        <f t="shared" si="14"/>
        <v>87.49210303172805</v>
      </c>
      <c r="H27" s="18">
        <f t="shared" si="14"/>
        <v>85.383424687337836</v>
      </c>
      <c r="I27" s="18">
        <f t="shared" si="14"/>
        <v>83.452402782607194</v>
      </c>
      <c r="J27" s="18">
        <f t="shared" si="14"/>
        <v>81.688269116806396</v>
      </c>
      <c r="K27" s="18">
        <f t="shared" si="14"/>
        <v>80.080772692807798</v>
      </c>
      <c r="L27" s="18">
        <f t="shared" si="14"/>
        <v>78.620157897264178</v>
      </c>
      <c r="M27" s="18">
        <f t="shared" si="14"/>
        <v>77.297143531893155</v>
      </c>
      <c r="N27" s="18">
        <f t="shared" si="14"/>
        <v>77.672034678022811</v>
      </c>
      <c r="O27" s="18">
        <f t="shared" si="14"/>
        <v>78.048744046211212</v>
      </c>
      <c r="P27" s="18">
        <f t="shared" si="14"/>
        <v>78.427280454835341</v>
      </c>
      <c r="Q27" s="18">
        <f t="shared" si="14"/>
        <v>78.807652765041269</v>
      </c>
      <c r="R27" s="18">
        <f t="shared" si="14"/>
        <v>79.189869880951704</v>
      </c>
      <c r="S27" s="18">
        <f t="shared" si="14"/>
        <v>79.573940749874311</v>
      </c>
      <c r="T27" s="18">
        <f t="shared" si="14"/>
        <v>79.959874362511187</v>
      </c>
      <c r="U27" s="18">
        <f t="shared" si="14"/>
        <v>80.347679753169373</v>
      </c>
      <c r="V27" s="18">
        <f t="shared" si="14"/>
        <v>80.737365999972255</v>
      </c>
      <c r="W27" s="18">
        <f t="shared" si="14"/>
        <v>81.128942225072095</v>
      </c>
      <c r="X27" s="18">
        <f t="shared" si="14"/>
        <v>81.522417594863683</v>
      </c>
    </row>
    <row r="28" spans="1:25" x14ac:dyDescent="0.3">
      <c r="A28" t="s">
        <v>8</v>
      </c>
      <c r="D28" s="18">
        <f>D13*$Y13/1000</f>
        <v>51</v>
      </c>
      <c r="E28" s="18">
        <f>E13*$Y13/1000*AB4</f>
        <v>49.544204999999998</v>
      </c>
      <c r="F28" s="18">
        <f t="shared" ref="F28:X28" si="15">F13*$Y13/1000*AC4</f>
        <v>48.202916232749992</v>
      </c>
      <c r="G28" s="18">
        <f t="shared" si="15"/>
        <v>46.969444785454009</v>
      </c>
      <c r="H28" s="18">
        <f t="shared" si="15"/>
        <v>45.837417463728741</v>
      </c>
      <c r="I28" s="18">
        <f t="shared" si="15"/>
        <v>44.800763599083879</v>
      </c>
      <c r="J28" s="18">
        <f t="shared" si="15"/>
        <v>43.85370236796976</v>
      </c>
      <c r="K28" s="18">
        <f t="shared" si="15"/>
        <v>42.990730603507352</v>
      </c>
      <c r="L28" s="18">
        <f t="shared" si="15"/>
        <v>42.206611081689196</v>
      </c>
      <c r="M28" s="18">
        <f t="shared" si="15"/>
        <v>41.496361264490012</v>
      </c>
      <c r="N28" s="18">
        <f t="shared" si="15"/>
        <v>41.697618616622783</v>
      </c>
      <c r="O28" s="18">
        <f t="shared" si="15"/>
        <v>41.899852066913397</v>
      </c>
      <c r="P28" s="18">
        <f t="shared" si="15"/>
        <v>42.10306634943791</v>
      </c>
      <c r="Q28" s="18">
        <f t="shared" si="15"/>
        <v>42.307266221232695</v>
      </c>
      <c r="R28" s="18">
        <f t="shared" si="15"/>
        <v>42.512456462405652</v>
      </c>
      <c r="S28" s="18">
        <f t="shared" si="15"/>
        <v>42.718641876248313</v>
      </c>
      <c r="T28" s="18">
        <f t="shared" si="15"/>
        <v>42.925827289348113</v>
      </c>
      <c r="U28" s="18">
        <f t="shared" si="15"/>
        <v>43.134017551701454</v>
      </c>
      <c r="V28" s="18">
        <f t="shared" si="15"/>
        <v>43.343217536827211</v>
      </c>
      <c r="W28" s="18">
        <f t="shared" si="15"/>
        <v>43.553432141880812</v>
      </c>
      <c r="X28" s="18">
        <f t="shared" si="15"/>
        <v>43.764666287768918</v>
      </c>
    </row>
    <row r="29" spans="1:25" x14ac:dyDescent="0.3">
      <c r="A29" t="s">
        <v>12</v>
      </c>
      <c r="D29" s="18">
        <f>D14*$Y14/1000</f>
        <v>48.75</v>
      </c>
      <c r="E29" s="18">
        <f>E14*$Y14/1000*AB4</f>
        <v>47.358431249999995</v>
      </c>
      <c r="F29" s="18">
        <f t="shared" ref="F29:X29" si="16">F14*$Y14/1000*AC4</f>
        <v>46.076316987187496</v>
      </c>
      <c r="G29" s="18">
        <f t="shared" si="16"/>
        <v>44.897263397860442</v>
      </c>
      <c r="H29" s="18">
        <f t="shared" si="16"/>
        <v>43.815178457976003</v>
      </c>
      <c r="I29" s="18">
        <f t="shared" si="16"/>
        <v>42.824259322653702</v>
      </c>
      <c r="J29" s="18">
        <f t="shared" si="16"/>
        <v>41.918980204676977</v>
      </c>
      <c r="K29" s="18">
        <f t="shared" si="16"/>
        <v>41.094080723940841</v>
      </c>
      <c r="L29" s="18">
        <f t="shared" si="16"/>
        <v>40.344554710438189</v>
      </c>
      <c r="M29" s="18">
        <f t="shared" si="16"/>
        <v>39.66563944399779</v>
      </c>
      <c r="N29" s="18">
        <f t="shared" si="16"/>
        <v>39.85801779530118</v>
      </c>
      <c r="O29" s="18">
        <f t="shared" si="16"/>
        <v>40.051329181608381</v>
      </c>
      <c r="P29" s="18">
        <f t="shared" si="16"/>
        <v>40.245578128139179</v>
      </c>
      <c r="Q29" s="18">
        <f t="shared" si="16"/>
        <v>40.440769182060649</v>
      </c>
      <c r="R29" s="18">
        <f t="shared" si="16"/>
        <v>40.636906912593638</v>
      </c>
      <c r="S29" s="18">
        <f t="shared" si="16"/>
        <v>40.833995911119715</v>
      </c>
      <c r="T29" s="18">
        <f t="shared" si="16"/>
        <v>41.032040791288644</v>
      </c>
      <c r="U29" s="18">
        <f t="shared" si="16"/>
        <v>41.231046189126396</v>
      </c>
      <c r="V29" s="18">
        <f t="shared" si="16"/>
        <v>41.431016763143653</v>
      </c>
      <c r="W29" s="18">
        <f t="shared" si="16"/>
        <v>41.631957194444894</v>
      </c>
      <c r="X29" s="18">
        <f t="shared" si="16"/>
        <v>41.833872186837951</v>
      </c>
    </row>
    <row r="30" spans="1:25" x14ac:dyDescent="0.3">
      <c r="A30" t="s">
        <v>13</v>
      </c>
      <c r="D30" s="18">
        <f>D15*$Y15/1000</f>
        <v>24.5</v>
      </c>
      <c r="E30" s="18">
        <f>E15*$Y15/1000*AB4</f>
        <v>23.8006475</v>
      </c>
      <c r="F30" s="18">
        <f t="shared" ref="F30:X30" si="17">F15*$Y15/1000*AC4</f>
        <v>23.156302896124998</v>
      </c>
      <c r="G30" s="18">
        <f t="shared" si="17"/>
        <v>22.563752887129862</v>
      </c>
      <c r="H30" s="18">
        <f t="shared" si="17"/>
        <v>22.019935840418707</v>
      </c>
      <c r="I30" s="18">
        <f t="shared" si="17"/>
        <v>21.521935454461858</v>
      </c>
      <c r="J30" s="18">
        <f t="shared" si="17"/>
        <v>21.066974666965859</v>
      </c>
      <c r="K30" s="18">
        <f t="shared" si="17"/>
        <v>20.652409799724118</v>
      </c>
      <c r="L30" s="18">
        <f t="shared" si="17"/>
        <v>20.275724931399704</v>
      </c>
      <c r="M30" s="18">
        <f t="shared" si="17"/>
        <v>19.934526489804021</v>
      </c>
      <c r="N30" s="18">
        <f t="shared" si="17"/>
        <v>20.031208943279566</v>
      </c>
      <c r="O30" s="18">
        <f t="shared" si="17"/>
        <v>20.128360306654468</v>
      </c>
      <c r="P30" s="18">
        <f t="shared" si="17"/>
        <v>20.225982854141741</v>
      </c>
      <c r="Q30" s="18">
        <f t="shared" si="17"/>
        <v>20.324078870984327</v>
      </c>
      <c r="R30" s="18">
        <f t="shared" si="17"/>
        <v>20.422650653508594</v>
      </c>
      <c r="S30" s="18">
        <f t="shared" si="17"/>
        <v>20.52170050917811</v>
      </c>
      <c r="T30" s="18">
        <f t="shared" si="17"/>
        <v>20.621230756647623</v>
      </c>
      <c r="U30" s="18">
        <f t="shared" si="17"/>
        <v>20.721243725817363</v>
      </c>
      <c r="V30" s="18">
        <f t="shared" si="17"/>
        <v>20.821741757887576</v>
      </c>
      <c r="W30" s="18">
        <f t="shared" si="17"/>
        <v>20.922727205413327</v>
      </c>
      <c r="X30" s="18">
        <f t="shared" si="17"/>
        <v>21.02420243235958</v>
      </c>
    </row>
    <row r="31" spans="1:25" x14ac:dyDescent="0.3">
      <c r="D31" s="14">
        <f>SUM(D26:D30)</f>
        <v>719.25</v>
      </c>
      <c r="E31" s="14">
        <f t="shared" ref="E31:N31" si="18">SUM(E26:E30)</f>
        <v>698.71900874999994</v>
      </c>
      <c r="F31" s="14">
        <f t="shared" si="18"/>
        <v>679.80289216481242</v>
      </c>
      <c r="G31" s="14">
        <f t="shared" si="18"/>
        <v>662.40731690074119</v>
      </c>
      <c r="H31" s="14">
        <f t="shared" si="18"/>
        <v>646.44240217229208</v>
      </c>
      <c r="I31" s="14">
        <f t="shared" si="18"/>
        <v>631.82253369884461</v>
      </c>
      <c r="J31" s="14">
        <f t="shared" si="18"/>
        <v>618.46618486592627</v>
      </c>
      <c r="K31" s="14">
        <f t="shared" si="18"/>
        <v>606.2957448347579</v>
      </c>
      <c r="L31" s="14">
        <f t="shared" si="18"/>
        <v>595.23735334323419</v>
      </c>
      <c r="M31" s="14">
        <f t="shared" si="18"/>
        <v>585.22074195067512</v>
      </c>
      <c r="N31" s="14">
        <f t="shared" si="18"/>
        <v>588.059062549136</v>
      </c>
      <c r="O31" s="14">
        <f t="shared" ref="O31:X31" si="19">SUM(O26:O30)</f>
        <v>590.91114900249909</v>
      </c>
      <c r="P31" s="14">
        <f t="shared" si="19"/>
        <v>593.77706807516131</v>
      </c>
      <c r="Q31" s="14">
        <f t="shared" si="19"/>
        <v>596.65688685532564</v>
      </c>
      <c r="R31" s="14">
        <f t="shared" si="19"/>
        <v>599.55067275657393</v>
      </c>
      <c r="S31" s="14">
        <f t="shared" si="19"/>
        <v>602.4584935194431</v>
      </c>
      <c r="T31" s="14">
        <f t="shared" si="19"/>
        <v>605.38041721301249</v>
      </c>
      <c r="U31" s="14">
        <f t="shared" si="19"/>
        <v>608.31651223649556</v>
      </c>
      <c r="V31" s="14">
        <f t="shared" si="19"/>
        <v>611.26684732084254</v>
      </c>
      <c r="W31" s="14">
        <f t="shared" si="19"/>
        <v>614.23149153034842</v>
      </c>
      <c r="X31" s="14">
        <f t="shared" si="19"/>
        <v>617.2105142642705</v>
      </c>
    </row>
    <row r="32" spans="1:25" x14ac:dyDescent="0.3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17.5" x14ac:dyDescent="0.35">
      <c r="A33" s="15" t="s">
        <v>212</v>
      </c>
      <c r="B33" s="9"/>
      <c r="C33" s="9"/>
      <c r="D33" s="298">
        <f>D25+D31+'WAN FAN Wi-Fi'!G193</f>
        <v>1088.4199999999998</v>
      </c>
      <c r="E33" s="298">
        <f>E25+E31+'WAN FAN Wi-Fi'!H193</f>
        <v>1065.44307875</v>
      </c>
      <c r="F33" s="298">
        <f>F25+F31+'WAN FAN Wi-Fi'!I193</f>
        <v>1049.9421761648125</v>
      </c>
      <c r="G33" s="298">
        <f>G25+G31+'WAN FAN Wi-Fi'!J193</f>
        <v>1035.4245784797611</v>
      </c>
      <c r="H33" s="298">
        <f>H25+H31+'WAN FAN Wi-Fi'!K193</f>
        <v>1025.0269286937832</v>
      </c>
      <c r="I33" s="298">
        <f>I25+I31+'WAN FAN Wi-Fi'!L193</f>
        <v>1018.7870757360428</v>
      </c>
      <c r="J33" s="298">
        <f>J25+J31+'WAN FAN Wi-Fi'!M193</f>
        <v>1015.6228403356639</v>
      </c>
      <c r="K33" s="298">
        <f>K25+K31+'WAN FAN Wi-Fi'!N193</f>
        <v>1011.6276133400809</v>
      </c>
      <c r="L33" s="298">
        <f>L25+L31+'WAN FAN Wi-Fi'!O193</f>
        <v>1011.0271091336995</v>
      </c>
      <c r="M33" s="298">
        <f>M25+M31+'WAN FAN Wi-Fi'!P193</f>
        <v>1013.68584316188</v>
      </c>
      <c r="N33" s="298">
        <f>N25+N31+'WAN FAN Wi-Fi'!Q193</f>
        <v>1038.5234219383763</v>
      </c>
      <c r="O33" s="298">
        <f>O25+O31+'WAN FAN Wi-Fi'!R193</f>
        <v>1051.1192126601939</v>
      </c>
      <c r="P33" s="298">
        <f>P25+P31+'WAN FAN Wi-Fi'!S193</f>
        <v>1054.3354920626057</v>
      </c>
      <c r="Q33" s="298">
        <f>Q25+Q31+'WAN FAN Wi-Fi'!T193</f>
        <v>1049.2865957437225</v>
      </c>
      <c r="R33" s="298">
        <f>R25+R31+'WAN FAN Wi-Fi'!U193</f>
        <v>1036.6037323885841</v>
      </c>
      <c r="S33" s="298">
        <f>S25+S31+'WAN FAN Wi-Fi'!V193</f>
        <v>1016.7411876808794</v>
      </c>
      <c r="T33" s="298">
        <f>T25+T31+'WAN FAN Wi-Fi'!W193</f>
        <v>1007.8264868914262</v>
      </c>
      <c r="U33" s="298">
        <f>U25+U31+'WAN FAN Wi-Fi'!X193</f>
        <v>1008.1782067997772</v>
      </c>
      <c r="V33" s="298">
        <f>V25+V31+'WAN FAN Wi-Fi'!Y193</f>
        <v>1017.1690064520277</v>
      </c>
      <c r="W33" s="298">
        <f>W25+W31+'WAN FAN Wi-Fi'!Z193</f>
        <v>1037.8097717444268</v>
      </c>
      <c r="X33" s="298">
        <f>X25+X31+'WAN FAN Wi-Fi'!AA193</f>
        <v>1072.9527648587175</v>
      </c>
    </row>
    <row r="34" spans="1:24" x14ac:dyDescent="0.3">
      <c r="A34" s="7"/>
      <c r="B34" s="9"/>
      <c r="C34" s="9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x14ac:dyDescent="0.3">
      <c r="A35" s="7"/>
      <c r="B35" s="9"/>
      <c r="C35" s="9"/>
      <c r="D35" s="19">
        <v>2010</v>
      </c>
      <c r="E35" s="19">
        <v>2011</v>
      </c>
      <c r="F35" s="19">
        <v>2012</v>
      </c>
      <c r="G35" s="19">
        <v>2013</v>
      </c>
      <c r="H35" s="19">
        <v>2014</v>
      </c>
      <c r="I35" s="19">
        <v>2015</v>
      </c>
      <c r="J35" s="19">
        <v>2016</v>
      </c>
      <c r="K35" s="19">
        <v>2017</v>
      </c>
      <c r="L35" s="19">
        <v>2018</v>
      </c>
      <c r="M35" s="19">
        <v>2019</v>
      </c>
      <c r="N35" s="19">
        <v>2020</v>
      </c>
      <c r="O35" s="19">
        <v>2021</v>
      </c>
      <c r="P35" s="19">
        <v>2022</v>
      </c>
      <c r="Q35" s="19">
        <v>2023</v>
      </c>
      <c r="R35" s="19">
        <v>2024</v>
      </c>
      <c r="S35" s="19">
        <v>2025</v>
      </c>
      <c r="T35" s="19">
        <v>2026</v>
      </c>
      <c r="U35" s="19">
        <v>2027</v>
      </c>
      <c r="V35" s="19">
        <v>2028</v>
      </c>
      <c r="W35" s="19">
        <v>2029</v>
      </c>
      <c r="X35" s="19">
        <v>2030</v>
      </c>
    </row>
    <row r="38" spans="1:24" x14ac:dyDescent="0.3">
      <c r="A38" s="101" t="s">
        <v>296</v>
      </c>
      <c r="D38">
        <f>D31/D33</f>
        <v>0.66082027158633627</v>
      </c>
      <c r="E38">
        <f t="shared" ref="E38:X38" si="20">E31/E33</f>
        <v>0.65580134939705237</v>
      </c>
      <c r="F38">
        <f t="shared" si="20"/>
        <v>0.64746698208464171</v>
      </c>
      <c r="G38">
        <f t="shared" si="20"/>
        <v>0.63974463294401018</v>
      </c>
      <c r="H38">
        <f t="shared" si="20"/>
        <v>0.63065894570796244</v>
      </c>
      <c r="I38">
        <f t="shared" si="20"/>
        <v>0.62017132799056363</v>
      </c>
      <c r="J38">
        <f t="shared" si="20"/>
        <v>0.60895261538380019</v>
      </c>
      <c r="K38">
        <f t="shared" si="20"/>
        <v>0.59932700218903401</v>
      </c>
      <c r="L38">
        <f t="shared" si="20"/>
        <v>0.58874519581701867</v>
      </c>
      <c r="M38">
        <f t="shared" si="20"/>
        <v>0.57731963595867108</v>
      </c>
      <c r="N38">
        <f t="shared" si="20"/>
        <v>0.5662453538616774</v>
      </c>
      <c r="O38">
        <f t="shared" si="20"/>
        <v>0.56217329289130691</v>
      </c>
      <c r="P38">
        <f t="shared" si="20"/>
        <v>0.56317659089096017</v>
      </c>
      <c r="Q38">
        <f t="shared" si="20"/>
        <v>0.56863100060133898</v>
      </c>
      <c r="R38">
        <f t="shared" si="20"/>
        <v>0.57837981286741569</v>
      </c>
      <c r="S38">
        <f t="shared" si="20"/>
        <v>0.59253869206736054</v>
      </c>
      <c r="T38">
        <f t="shared" si="20"/>
        <v>0.60067920925581963</v>
      </c>
      <c r="U38">
        <f t="shared" si="20"/>
        <v>0.60338193003343343</v>
      </c>
      <c r="V38">
        <f t="shared" si="20"/>
        <v>0.60094914752956685</v>
      </c>
      <c r="W38">
        <f t="shared" si="20"/>
        <v>0.59185364047777567</v>
      </c>
      <c r="X38">
        <f t="shared" si="20"/>
        <v>0.57524481457069787</v>
      </c>
    </row>
  </sheetData>
  <phoneticPr fontId="6" type="noConversion"/>
  <pageMargins left="0.75" right="0.75" top="1" bottom="1" header="0.5" footer="0.5"/>
  <pageSetup orientation="portrait" horizontalDpi="200" verticalDpi="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1"/>
  <sheetViews>
    <sheetView zoomScale="40" zoomScaleNormal="40" workbookViewId="0">
      <selection activeCell="X33" sqref="X33"/>
    </sheetView>
  </sheetViews>
  <sheetFormatPr defaultColWidth="11" defaultRowHeight="13.5" x14ac:dyDescent="0.3"/>
  <cols>
    <col min="1" max="1" width="14.23046875" style="101" bestFit="1" customWidth="1"/>
    <col min="2" max="2" width="11" style="101"/>
    <col min="3" max="4" width="11" style="101" customWidth="1"/>
    <col min="5" max="5" width="9.23046875" style="101" bestFit="1" customWidth="1"/>
    <col min="6" max="6" width="12" style="101" bestFit="1" customWidth="1"/>
    <col min="7" max="7" width="11" style="101"/>
    <col min="8" max="24" width="9.23046875" style="101" bestFit="1" customWidth="1"/>
    <col min="25" max="25" width="9.15234375" style="101" customWidth="1"/>
    <col min="26" max="16384" width="11" style="101"/>
  </cols>
  <sheetData>
    <row r="1" spans="1:47" x14ac:dyDescent="0.3">
      <c r="B1" s="105" t="s">
        <v>35</v>
      </c>
      <c r="C1" s="49" t="s">
        <v>211</v>
      </c>
    </row>
    <row r="2" spans="1:47" s="105" customFormat="1" ht="27" x14ac:dyDescent="0.3">
      <c r="D2" s="105">
        <v>2010</v>
      </c>
      <c r="E2" s="105">
        <v>2011</v>
      </c>
      <c r="F2" s="105">
        <v>2012</v>
      </c>
      <c r="G2" s="105">
        <v>2013</v>
      </c>
      <c r="H2" s="105">
        <v>2014</v>
      </c>
      <c r="I2" s="105">
        <v>2015</v>
      </c>
      <c r="J2" s="105">
        <v>2016</v>
      </c>
      <c r="K2" s="105">
        <v>2017</v>
      </c>
      <c r="L2" s="105">
        <v>2018</v>
      </c>
      <c r="M2" s="105">
        <v>2019</v>
      </c>
      <c r="N2" s="105">
        <v>2020</v>
      </c>
      <c r="O2" s="105">
        <v>2021</v>
      </c>
      <c r="P2" s="105">
        <v>2022</v>
      </c>
      <c r="Q2" s="105">
        <v>2023</v>
      </c>
      <c r="R2" s="105">
        <v>2024</v>
      </c>
      <c r="S2" s="105">
        <v>2025</v>
      </c>
      <c r="T2" s="105">
        <v>2026</v>
      </c>
      <c r="U2" s="105">
        <v>2027</v>
      </c>
      <c r="V2" s="105">
        <v>2028</v>
      </c>
      <c r="W2" s="105">
        <v>2029</v>
      </c>
      <c r="X2" s="105">
        <v>2030</v>
      </c>
      <c r="Y2" s="177" t="s">
        <v>10</v>
      </c>
      <c r="AA2" s="8"/>
      <c r="AB2" s="8">
        <v>2011</v>
      </c>
      <c r="AC2" s="7">
        <v>2012</v>
      </c>
      <c r="AD2" s="7">
        <v>2013</v>
      </c>
      <c r="AE2" s="7">
        <v>2014</v>
      </c>
      <c r="AF2" s="7">
        <v>2015</v>
      </c>
      <c r="AG2" s="7">
        <v>2016</v>
      </c>
      <c r="AH2" s="7">
        <v>2017</v>
      </c>
      <c r="AI2" s="7">
        <v>2018</v>
      </c>
      <c r="AJ2" s="7">
        <v>2019</v>
      </c>
      <c r="AK2" s="7">
        <v>2020</v>
      </c>
      <c r="AL2" s="7">
        <v>2021</v>
      </c>
      <c r="AM2" s="7">
        <v>2022</v>
      </c>
      <c r="AN2" s="7">
        <v>2023</v>
      </c>
      <c r="AO2" s="7">
        <v>2024</v>
      </c>
      <c r="AP2" s="7">
        <v>2025</v>
      </c>
      <c r="AQ2" s="7">
        <v>2026</v>
      </c>
      <c r="AR2" s="7">
        <v>2027</v>
      </c>
      <c r="AS2" s="7">
        <v>2028</v>
      </c>
      <c r="AT2" s="7">
        <v>2029</v>
      </c>
      <c r="AU2" s="7">
        <v>2030</v>
      </c>
    </row>
    <row r="3" spans="1:47" ht="14" x14ac:dyDescent="0.3">
      <c r="A3" s="49" t="s">
        <v>84</v>
      </c>
      <c r="B3" s="178"/>
      <c r="C3" s="178"/>
      <c r="D3" s="181">
        <f>Production!B3*7</f>
        <v>1022</v>
      </c>
      <c r="E3" s="181">
        <f>Production!B3*6+Production!C3</f>
        <v>1024</v>
      </c>
      <c r="F3" s="278">
        <f>Production!B3*5+Production!C3+Production!D3</f>
        <v>1029</v>
      </c>
      <c r="G3" s="181">
        <f>Production!B3*4+Production!C3+Production!D3+Production!E3</f>
        <v>1030.98</v>
      </c>
      <c r="H3" s="181">
        <f>Production!B3*3+Production!C3+Production!D3+Production!E3+Production!F3</f>
        <v>1030.0003999999999</v>
      </c>
      <c r="I3" s="181">
        <f>Production!B3*2+Production!C3+Production!D3+Production!E3+Production!F3+Production!G3</f>
        <v>1026.120392</v>
      </c>
      <c r="J3" s="181">
        <f>SUM(Production!B3:H3)</f>
        <v>1019.3979841600001</v>
      </c>
      <c r="K3" s="181">
        <f>SUM(Production!C3:I3)</f>
        <v>1009.8900244768</v>
      </c>
      <c r="L3" s="181">
        <f>SUM(Production!D3:J3)</f>
        <v>995.65222398726405</v>
      </c>
      <c r="M3" s="181">
        <f>SUM(Production!E3:K3)</f>
        <v>975.73917950751877</v>
      </c>
      <c r="N3" s="181">
        <f>SUM(Production!F3:L3)</f>
        <v>956.22439591736838</v>
      </c>
      <c r="O3" s="181">
        <f>SUM(Production!G3:M3)</f>
        <v>937.09990799902084</v>
      </c>
      <c r="P3" s="181">
        <f>SUM(Production!H3:N3)</f>
        <v>918.35790983904053</v>
      </c>
      <c r="Q3" s="181">
        <f>SUM(Production!I3:O3)</f>
        <v>899.99075164225974</v>
      </c>
      <c r="R3" s="181">
        <f>SUM(Production!J3:P3)</f>
        <v>881.99093660941458</v>
      </c>
      <c r="S3" s="181">
        <f>SUM(Production!K3:Q3)</f>
        <v>864.35111787722644</v>
      </c>
      <c r="T3" s="181">
        <f>SUM(Production!L3:R3)</f>
        <v>847.06409551968181</v>
      </c>
      <c r="U3" s="181">
        <f>SUM(Production!M3:S3)</f>
        <v>830.12281360928819</v>
      </c>
      <c r="V3" s="181">
        <f>SUM(Production!N3:T3)</f>
        <v>813.5203573371025</v>
      </c>
      <c r="W3" s="181">
        <f>SUM(Production!O3:U3)</f>
        <v>797.24995019036078</v>
      </c>
      <c r="X3" s="181">
        <f>SUM(Production!P3:V3)</f>
        <v>781.30495118655358</v>
      </c>
      <c r="Y3" s="101">
        <v>220</v>
      </c>
      <c r="Z3" s="101" t="s">
        <v>37</v>
      </c>
      <c r="AA3" s="36" t="s">
        <v>57</v>
      </c>
      <c r="AB3" s="36">
        <v>0.95</v>
      </c>
      <c r="AC3" s="35">
        <f>AB3*0.95</f>
        <v>0.90249999999999997</v>
      </c>
      <c r="AD3" s="22">
        <f>AC3*0.95</f>
        <v>0.85737499999999989</v>
      </c>
      <c r="AE3" s="22">
        <f t="shared" ref="AE3:AU3" si="0">AD3*0.95</f>
        <v>0.81450624999999988</v>
      </c>
      <c r="AF3" s="22">
        <f t="shared" si="0"/>
        <v>0.77378093749999988</v>
      </c>
      <c r="AG3" s="22">
        <f t="shared" si="0"/>
        <v>0.7350918906249998</v>
      </c>
      <c r="AH3" s="22">
        <f t="shared" si="0"/>
        <v>0.69833729609374973</v>
      </c>
      <c r="AI3" s="22">
        <f t="shared" si="0"/>
        <v>0.66342043128906225</v>
      </c>
      <c r="AJ3" s="22">
        <f t="shared" si="0"/>
        <v>0.63024940972460908</v>
      </c>
      <c r="AK3" s="22">
        <f t="shared" si="0"/>
        <v>0.59873693923837856</v>
      </c>
      <c r="AL3" s="22">
        <f t="shared" si="0"/>
        <v>0.56880009227645956</v>
      </c>
      <c r="AM3" s="22">
        <f t="shared" si="0"/>
        <v>0.54036008766263655</v>
      </c>
      <c r="AN3" s="22">
        <f t="shared" si="0"/>
        <v>0.5133420832795047</v>
      </c>
      <c r="AO3" s="22">
        <f t="shared" si="0"/>
        <v>0.48767497911552943</v>
      </c>
      <c r="AP3" s="22">
        <f t="shared" si="0"/>
        <v>0.46329123015975293</v>
      </c>
      <c r="AQ3" s="22">
        <f t="shared" si="0"/>
        <v>0.44012666865176525</v>
      </c>
      <c r="AR3" s="22">
        <f t="shared" si="0"/>
        <v>0.41812033521917696</v>
      </c>
      <c r="AS3" s="22">
        <f t="shared" si="0"/>
        <v>0.39721431845821809</v>
      </c>
      <c r="AT3" s="22">
        <f t="shared" si="0"/>
        <v>0.37735360253530714</v>
      </c>
      <c r="AU3" s="22">
        <f t="shared" si="0"/>
        <v>0.35848592240854177</v>
      </c>
    </row>
    <row r="4" spans="1:47" ht="14" x14ac:dyDescent="0.3">
      <c r="A4" s="49" t="s">
        <v>85</v>
      </c>
      <c r="B4" s="178"/>
      <c r="C4" s="178"/>
      <c r="D4" s="181">
        <f>Production!B4*7</f>
        <v>1134</v>
      </c>
      <c r="E4" s="181">
        <f>Production!B4*6+Production!C4</f>
        <v>1137</v>
      </c>
      <c r="F4" s="278">
        <f>Production!B4*5+Production!C4+Production!D4</f>
        <v>1144</v>
      </c>
      <c r="G4" s="181">
        <f>Production!B4*4+Production!C4+Production!D4+Production!E4</f>
        <v>1147.6199999999999</v>
      </c>
      <c r="H4" s="181">
        <f>Production!B4*3+Production!C4+Production!D4+Production!E4+Production!F4</f>
        <v>1147.9276</v>
      </c>
      <c r="I4" s="181">
        <f>Production!B4*2+Production!C4+Production!D4+Production!E4+Production!F4+Production!G4</f>
        <v>1144.9890479999999</v>
      </c>
      <c r="J4" s="181">
        <f>SUM(Production!B4:H4)</f>
        <v>1138.8692670400001</v>
      </c>
      <c r="K4" s="181">
        <f>SUM(Production!C4:I4)</f>
        <v>1129.6318816992</v>
      </c>
      <c r="L4" s="181">
        <f>SUM(Production!D4:J4)</f>
        <v>1114.339244065216</v>
      </c>
      <c r="M4" s="181">
        <f>SUM(Production!E4:K4)</f>
        <v>1092.0524591839119</v>
      </c>
      <c r="N4" s="181">
        <f>SUM(Production!F4:L4)</f>
        <v>1070.2114100002336</v>
      </c>
      <c r="O4" s="181">
        <f>SUM(Production!G4:M4)</f>
        <v>1048.8071818002288</v>
      </c>
      <c r="P4" s="181">
        <f>SUM(Production!H4:N4)</f>
        <v>1027.8310381642243</v>
      </c>
      <c r="Q4" s="181">
        <f>SUM(Production!I4:O4)</f>
        <v>1007.2744174009399</v>
      </c>
      <c r="R4" s="181">
        <f>SUM(Production!J4:P4)</f>
        <v>987.12892905292097</v>
      </c>
      <c r="S4" s="181">
        <f>SUM(Production!K4:Q4)</f>
        <v>967.38635047186244</v>
      </c>
      <c r="T4" s="181">
        <f>SUM(Production!L4:R4)</f>
        <v>948.03862346242522</v>
      </c>
      <c r="U4" s="181">
        <f>SUM(Production!M4:S4)</f>
        <v>929.07785099317653</v>
      </c>
      <c r="V4" s="181">
        <f>SUM(Production!N4:T4)</f>
        <v>910.49629397331296</v>
      </c>
      <c r="W4" s="181">
        <f>SUM(Production!O4:U4)</f>
        <v>892.28636809384659</v>
      </c>
      <c r="X4" s="181">
        <f>SUM(Production!P4:V4)</f>
        <v>874.44064073196955</v>
      </c>
      <c r="Y4" s="101">
        <v>97</v>
      </c>
      <c r="Z4" s="101">
        <v>1.05</v>
      </c>
      <c r="AA4" s="36" t="s">
        <v>16</v>
      </c>
      <c r="AB4" s="36">
        <v>0.97</v>
      </c>
      <c r="AC4" s="35">
        <f>AB4*0.97</f>
        <v>0.94089999999999996</v>
      </c>
      <c r="AD4" s="22">
        <f>AC4*0.97</f>
        <v>0.91267299999999996</v>
      </c>
      <c r="AE4" s="22">
        <f t="shared" ref="AE4:AU4" si="1">AD4*0.97</f>
        <v>0.88529280999999993</v>
      </c>
      <c r="AF4" s="22">
        <f t="shared" si="1"/>
        <v>0.8587340256999999</v>
      </c>
      <c r="AG4" s="22">
        <f t="shared" si="1"/>
        <v>0.83297200492899992</v>
      </c>
      <c r="AH4" s="22">
        <f t="shared" si="1"/>
        <v>0.80798284478112992</v>
      </c>
      <c r="AI4" s="22">
        <f t="shared" si="1"/>
        <v>0.78374335943769602</v>
      </c>
      <c r="AJ4" s="22">
        <f t="shared" si="1"/>
        <v>0.76023105865456508</v>
      </c>
      <c r="AK4" s="22">
        <f t="shared" si="1"/>
        <v>0.73742412689492809</v>
      </c>
      <c r="AL4" s="22">
        <f t="shared" si="1"/>
        <v>0.71530140308808021</v>
      </c>
      <c r="AM4" s="22">
        <f t="shared" si="1"/>
        <v>0.69384236099543783</v>
      </c>
      <c r="AN4" s="22">
        <f t="shared" si="1"/>
        <v>0.67302709016557472</v>
      </c>
      <c r="AO4" s="22">
        <f t="shared" si="1"/>
        <v>0.65283627746060746</v>
      </c>
      <c r="AP4" s="22">
        <f t="shared" si="1"/>
        <v>0.63325118913678924</v>
      </c>
      <c r="AQ4" s="22">
        <f t="shared" si="1"/>
        <v>0.61425365346268557</v>
      </c>
      <c r="AR4" s="22">
        <f t="shared" si="1"/>
        <v>0.595826043858805</v>
      </c>
      <c r="AS4" s="22">
        <f t="shared" si="1"/>
        <v>0.57795126254304086</v>
      </c>
      <c r="AT4" s="22">
        <f t="shared" si="1"/>
        <v>0.56061272466674961</v>
      </c>
      <c r="AU4" s="22">
        <f t="shared" si="1"/>
        <v>0.54379434292674711</v>
      </c>
    </row>
    <row r="5" spans="1:47" ht="14" x14ac:dyDescent="0.3">
      <c r="A5" s="49" t="s">
        <v>86</v>
      </c>
      <c r="B5" s="178"/>
      <c r="C5" s="180"/>
      <c r="D5" s="181">
        <f>Production!B5*7</f>
        <v>1407</v>
      </c>
      <c r="E5" s="181">
        <f>Production!B5*6+Production!C5</f>
        <v>1421</v>
      </c>
      <c r="F5" s="278">
        <f>Production!B5*5+Production!C5+Production!D5</f>
        <v>1466</v>
      </c>
      <c r="G5" s="181">
        <f>Production!B5*4+Production!C5+Production!D5+Production!E5</f>
        <v>1549</v>
      </c>
      <c r="H5" s="181">
        <f>Production!B5*3+Production!C5+Production!D5+Production!E5+Production!F5</f>
        <v>1680</v>
      </c>
      <c r="I5" s="181">
        <f>Production!B5*2+Production!C5+Production!D5+Production!E5+Production!F5+Production!G5</f>
        <v>1863</v>
      </c>
      <c r="J5" s="181">
        <f>SUM(Production!B5:H5)</f>
        <v>2105</v>
      </c>
      <c r="K5" s="181">
        <f>SUM(Production!C5:I5)</f>
        <v>2415.0651041666665</v>
      </c>
      <c r="L5" s="181">
        <f>SUM(Production!D5:J5)</f>
        <v>2789.6532321506074</v>
      </c>
      <c r="M5" s="181">
        <f>SUM(Production!E5:K5)</f>
        <v>3223.829119382081</v>
      </c>
      <c r="N5" s="181">
        <f>SUM(Production!F5:L5)</f>
        <v>3724.5111976204735</v>
      </c>
      <c r="O5" s="181">
        <f>SUM(Production!G5:M5)</f>
        <v>4051.6441433407231</v>
      </c>
      <c r="P5" s="181">
        <f>SUM(Production!H5:N5)</f>
        <v>4221.3158177457326</v>
      </c>
      <c r="Q5" s="181">
        <f>SUM(Production!I5:O5)</f>
        <v>4243.4000242459406</v>
      </c>
      <c r="R5" s="181">
        <f>SUM(Production!J5:P5)</f>
        <v>4123.0056535394488</v>
      </c>
      <c r="S5" s="181">
        <f>SUM(Production!K5:Q5)</f>
        <v>3861.5809416620541</v>
      </c>
      <c r="T5" s="181">
        <f>SUM(Production!L5:R5)</f>
        <v>3457.06232396008</v>
      </c>
      <c r="U5" s="181">
        <f>SUM(Production!M5:S5)</f>
        <v>2903.932352126466</v>
      </c>
      <c r="V5" s="181">
        <f>SUM(Production!N5:T5)</f>
        <v>2439.3031757862313</v>
      </c>
      <c r="W5" s="181">
        <f>SUM(Production!O5:U5)</f>
        <v>2049.0146676604336</v>
      </c>
      <c r="X5" s="181">
        <f>SUM(Production!P5:V5)</f>
        <v>1721.1723208347637</v>
      </c>
      <c r="Y5" s="101">
        <v>80</v>
      </c>
      <c r="AA5" s="36" t="s">
        <v>58</v>
      </c>
      <c r="AB5" s="36">
        <v>0.99</v>
      </c>
      <c r="AC5" s="35">
        <f>AB5*0.99</f>
        <v>0.98009999999999997</v>
      </c>
      <c r="AD5" s="22">
        <f>AC5*0.99</f>
        <v>0.97029899999999991</v>
      </c>
      <c r="AE5" s="22">
        <f t="shared" ref="AE5:AU5" si="2">AD5*0.99</f>
        <v>0.96059600999999994</v>
      </c>
      <c r="AF5" s="22">
        <f t="shared" si="2"/>
        <v>0.95099004989999991</v>
      </c>
      <c r="AG5" s="22">
        <f t="shared" si="2"/>
        <v>0.94148014940099989</v>
      </c>
      <c r="AH5" s="22">
        <f t="shared" si="2"/>
        <v>0.93206534790698992</v>
      </c>
      <c r="AI5" s="22">
        <f t="shared" si="2"/>
        <v>0.92274469442791995</v>
      </c>
      <c r="AJ5" s="22">
        <f t="shared" si="2"/>
        <v>0.91351724748364072</v>
      </c>
      <c r="AK5" s="22">
        <f t="shared" si="2"/>
        <v>0.9043820750088043</v>
      </c>
      <c r="AL5" s="22">
        <f t="shared" si="2"/>
        <v>0.89533825425871627</v>
      </c>
      <c r="AM5" s="22">
        <f t="shared" si="2"/>
        <v>0.88638487171612912</v>
      </c>
      <c r="AN5" s="22">
        <f t="shared" si="2"/>
        <v>0.87752102299896784</v>
      </c>
      <c r="AO5" s="22">
        <f t="shared" si="2"/>
        <v>0.86874581276897811</v>
      </c>
      <c r="AP5" s="22">
        <f t="shared" si="2"/>
        <v>0.86005835464128833</v>
      </c>
      <c r="AQ5" s="22">
        <f t="shared" si="2"/>
        <v>0.85145777109487542</v>
      </c>
      <c r="AR5" s="22">
        <f t="shared" si="2"/>
        <v>0.84294319338392665</v>
      </c>
      <c r="AS5" s="22">
        <f t="shared" si="2"/>
        <v>0.83451376145008738</v>
      </c>
      <c r="AT5" s="22">
        <f t="shared" si="2"/>
        <v>0.82616862383558654</v>
      </c>
      <c r="AU5" s="22">
        <f t="shared" si="2"/>
        <v>0.81790693759723065</v>
      </c>
    </row>
    <row r="6" spans="1:47" x14ac:dyDescent="0.3">
      <c r="A6" s="49" t="s">
        <v>87</v>
      </c>
      <c r="B6" s="178"/>
      <c r="C6" s="180"/>
      <c r="D6" s="181">
        <f>Production!B6*3</f>
        <v>1050</v>
      </c>
      <c r="E6" s="181">
        <f>Production!B6*2+Production!C6</f>
        <v>1160</v>
      </c>
      <c r="F6" s="181">
        <f>SUM(Production!B6:D6)</f>
        <v>1510</v>
      </c>
      <c r="G6" s="181">
        <f>SUM(Production!C6:E6)</f>
        <v>2060</v>
      </c>
      <c r="H6" s="181">
        <f>SUM(Production!D6:F6)</f>
        <v>2775</v>
      </c>
      <c r="I6" s="181">
        <f>SUM(Production!E6:G6)</f>
        <v>3465</v>
      </c>
      <c r="J6" s="181">
        <f>SUM(Production!F6:H6)</f>
        <v>4024.5</v>
      </c>
      <c r="K6" s="181">
        <f>SUM(Production!G6:I6)</f>
        <v>4381.9750000000004</v>
      </c>
      <c r="L6" s="181">
        <f>SUM(Production!H6:J6)</f>
        <v>4601.0737500000005</v>
      </c>
      <c r="M6" s="181">
        <f>SUM(Production!I6:K6)</f>
        <v>4831.1274375000012</v>
      </c>
      <c r="N6" s="181">
        <f>SUM(Production!J6:L6)</f>
        <v>5072.6838093750011</v>
      </c>
      <c r="O6" s="181">
        <f>SUM(Production!K6:M6)</f>
        <v>5237.5850593750001</v>
      </c>
      <c r="P6" s="181">
        <f>SUM(Production!L6:N6)</f>
        <v>5322.0313718750003</v>
      </c>
      <c r="Q6" s="181">
        <f>SUM(Production!M6:O6)</f>
        <v>5322</v>
      </c>
      <c r="R6" s="181">
        <f>SUM(Production!N6:P6)</f>
        <v>5322</v>
      </c>
      <c r="S6" s="181">
        <f>SUM(Production!O6:Q6)</f>
        <v>5322</v>
      </c>
      <c r="T6" s="181">
        <f>SUM(Production!P6:R6)</f>
        <v>5322</v>
      </c>
      <c r="U6" s="181">
        <f>SUM(Production!Q6:S6)</f>
        <v>5322</v>
      </c>
      <c r="V6" s="181">
        <f>SUM(Production!R6:T6)</f>
        <v>5322</v>
      </c>
      <c r="W6" s="181">
        <f>SUM(Production!S6:U6)</f>
        <v>5322</v>
      </c>
      <c r="X6" s="181">
        <f>SUM(Production!T6:V6)</f>
        <v>5322</v>
      </c>
      <c r="Y6" s="101">
        <v>5</v>
      </c>
      <c r="AC6" s="179"/>
      <c r="AD6" s="179"/>
      <c r="AE6" s="179"/>
      <c r="AF6" s="179"/>
      <c r="AG6" s="179"/>
      <c r="AH6" s="179"/>
      <c r="AI6" s="179"/>
    </row>
    <row r="7" spans="1:47" x14ac:dyDescent="0.3">
      <c r="A7" s="49" t="s">
        <v>88</v>
      </c>
      <c r="B7" s="178"/>
      <c r="C7" s="180"/>
      <c r="D7" s="181">
        <f>Production!B7*3</f>
        <v>150</v>
      </c>
      <c r="E7" s="181">
        <f>Production!B7*2+Production!C7</f>
        <v>200</v>
      </c>
      <c r="F7" s="181">
        <f>SUM(Production!B7:D7)</f>
        <v>300</v>
      </c>
      <c r="G7" s="181">
        <f>SUM(Production!C7:E7)</f>
        <v>457</v>
      </c>
      <c r="H7" s="181">
        <f>SUM(Production!D7:F7)</f>
        <v>613</v>
      </c>
      <c r="I7" s="181">
        <f>SUM(Production!E7:G7)</f>
        <v>784</v>
      </c>
      <c r="J7" s="181">
        <f>SUM(Production!F7:H7)</f>
        <v>946.15</v>
      </c>
      <c r="K7" s="181">
        <f>SUM(Production!G7:I7)</f>
        <v>1114.6724999999999</v>
      </c>
      <c r="L7" s="181">
        <f>SUM(Production!H7:J7)</f>
        <v>1281.8733749999997</v>
      </c>
      <c r="M7" s="181">
        <f>SUM(Production!I7:K7)</f>
        <v>1474.1543812499995</v>
      </c>
      <c r="N7" s="181">
        <f>SUM(Production!J7:L7)</f>
        <v>1610.6318812499997</v>
      </c>
      <c r="O7" s="181">
        <f>SUM(Production!K7:M7)</f>
        <v>1683.4310062499999</v>
      </c>
      <c r="P7" s="181">
        <f>SUM(Production!L7:N7)</f>
        <v>1683</v>
      </c>
      <c r="Q7" s="181">
        <f>SUM(Production!M7:O7)</f>
        <v>1683</v>
      </c>
      <c r="R7" s="181">
        <f>SUM(Production!N7:P7)</f>
        <v>1683</v>
      </c>
      <c r="S7" s="181">
        <f>SUM(Production!O7:Q7)</f>
        <v>1683</v>
      </c>
      <c r="T7" s="181">
        <f>SUM(Production!P7:R7)</f>
        <v>1683</v>
      </c>
      <c r="U7" s="181">
        <f>SUM(Production!Q7:S7)</f>
        <v>1683</v>
      </c>
      <c r="V7" s="181">
        <f>SUM(Production!R7:T7)</f>
        <v>1683</v>
      </c>
      <c r="W7" s="181">
        <f>SUM(Production!S7:U7)</f>
        <v>1683</v>
      </c>
      <c r="X7" s="181">
        <f>SUM(Production!T7:V7)</f>
        <v>1683</v>
      </c>
      <c r="Y7" s="101">
        <v>15</v>
      </c>
      <c r="AC7" s="179"/>
      <c r="AD7" s="179"/>
      <c r="AE7" s="179"/>
      <c r="AF7" s="179"/>
      <c r="AG7" s="179"/>
      <c r="AH7" s="179"/>
      <c r="AI7" s="179"/>
    </row>
    <row r="8" spans="1:47" x14ac:dyDescent="0.3">
      <c r="A8" s="49" t="s">
        <v>292</v>
      </c>
      <c r="B8" s="178"/>
      <c r="C8" s="180"/>
      <c r="D8" s="181">
        <f>Production!B8*3</f>
        <v>3750</v>
      </c>
      <c r="E8" s="181">
        <f>Production!B8*2+Production!C8</f>
        <v>3760</v>
      </c>
      <c r="F8" s="181">
        <f>SUM(Production!B8:D8)</f>
        <v>3560</v>
      </c>
      <c r="G8" s="181">
        <f>SUM(Production!C8:E8)</f>
        <v>3216</v>
      </c>
      <c r="H8" s="181">
        <f>SUM(Production!D8:F8)</f>
        <v>2549</v>
      </c>
      <c r="I8" s="181">
        <f>SUM(Production!E8:G8)</f>
        <v>2263</v>
      </c>
      <c r="J8" s="181">
        <f>SUM(Production!F8:H8)</f>
        <v>2082.8000000000002</v>
      </c>
      <c r="K8" s="181">
        <f>SUM(Production!G8:I8)</f>
        <v>2179.31</v>
      </c>
      <c r="L8" s="181">
        <f>SUM(Production!H8:J8)</f>
        <v>2070.3444999999997</v>
      </c>
      <c r="M8" s="181">
        <f>SUM(Production!I8:K8)</f>
        <v>1966.8272749999996</v>
      </c>
      <c r="N8" s="181">
        <f>SUM(Production!J8:L8)</f>
        <v>1868.4859112499994</v>
      </c>
      <c r="O8" s="181">
        <f>SUM(Production!K8:M8)</f>
        <v>1775.0616156874994</v>
      </c>
      <c r="P8" s="181">
        <f>SUM(Production!L8:N8)</f>
        <v>1686.3085349031244</v>
      </c>
      <c r="Q8" s="181">
        <f>SUM(Production!M8:O8)</f>
        <v>1601.993108157968</v>
      </c>
      <c r="R8" s="181">
        <f>SUM(Production!N8:P8)</f>
        <v>1521.8934527500696</v>
      </c>
      <c r="S8" s="181">
        <f>SUM(Production!O8:Q8)</f>
        <v>1445.798780112566</v>
      </c>
      <c r="T8" s="181">
        <f>SUM(Production!P8:R8)</f>
        <v>1373.5088411069378</v>
      </c>
      <c r="U8" s="181">
        <f>SUM(Production!Q8:S8)</f>
        <v>1304.8333990515907</v>
      </c>
      <c r="V8" s="181">
        <f>SUM(Production!R8:T8)</f>
        <v>1239.591729099011</v>
      </c>
      <c r="W8" s="181">
        <f>SUM(Production!S8:U8)</f>
        <v>1177.6121426440604</v>
      </c>
      <c r="X8" s="181">
        <f>SUM(Production!T8:V8)</f>
        <v>1118.7315355118574</v>
      </c>
      <c r="Y8" s="178">
        <v>1</v>
      </c>
    </row>
    <row r="9" spans="1:47" x14ac:dyDescent="0.3">
      <c r="A9" s="49" t="s">
        <v>89</v>
      </c>
      <c r="B9" s="178"/>
      <c r="C9" s="180"/>
      <c r="D9" s="181">
        <f>Production!B9*3</f>
        <v>0</v>
      </c>
      <c r="E9" s="181">
        <f>Production!B9*2+Production!C9</f>
        <v>0</v>
      </c>
      <c r="F9" s="181">
        <f>SUM(Production!B9:D9)</f>
        <v>10</v>
      </c>
      <c r="G9" s="181">
        <f>SUM(Production!C9:E9)</f>
        <v>60</v>
      </c>
      <c r="H9" s="181">
        <f>SUM(Production!D9:F9)</f>
        <v>160</v>
      </c>
      <c r="I9" s="181">
        <f>SUM(Production!E9:G9)</f>
        <v>293.33333333333303</v>
      </c>
      <c r="J9" s="181">
        <f>SUM(Production!F9:H9)</f>
        <v>431.666666666666</v>
      </c>
      <c r="K9" s="181">
        <f>SUM(Production!G9:I9)</f>
        <v>564.99999999999898</v>
      </c>
      <c r="L9" s="181">
        <f>SUM(Production!H9:J9)</f>
        <v>699.99999999999898</v>
      </c>
      <c r="M9" s="181">
        <f>SUM(Production!I9:K9)</f>
        <v>834.99999999999886</v>
      </c>
      <c r="N9" s="181">
        <f>SUM(Production!J9:L9)</f>
        <v>969.99999999999886</v>
      </c>
      <c r="O9" s="181">
        <f>SUM(Production!K9:M9)</f>
        <v>1118.933333333332</v>
      </c>
      <c r="P9" s="181">
        <f>SUM(Production!L9:N9)</f>
        <v>1291.2293333333319</v>
      </c>
      <c r="Q9" s="181">
        <f>SUM(Production!M9:O9)</f>
        <v>1497.8260266666648</v>
      </c>
      <c r="R9" s="181">
        <f>SUM(Production!N9:P9)</f>
        <v>1737.4781909333315</v>
      </c>
      <c r="S9" s="181">
        <f>SUM(Production!O9:Q9)</f>
        <v>2015.4747014826644</v>
      </c>
      <c r="T9" s="181">
        <f>SUM(Production!P9:R9)</f>
        <v>2337.9506537198904</v>
      </c>
      <c r="U9" s="181">
        <f>SUM(Production!Q9:S9)</f>
        <v>2712.0227583150727</v>
      </c>
      <c r="V9" s="181">
        <f>SUM(Production!R9:T9)</f>
        <v>3145.9463996454838</v>
      </c>
      <c r="W9" s="181">
        <f>SUM(Production!S9:U9)</f>
        <v>3649.2978235887604</v>
      </c>
      <c r="X9" s="181">
        <f>SUM(Production!T9:V9)</f>
        <v>4233.1854753629614</v>
      </c>
      <c r="Y9" s="178">
        <v>10</v>
      </c>
    </row>
    <row r="10" spans="1:47" x14ac:dyDescent="0.3">
      <c r="B10" s="178"/>
      <c r="C10" s="178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AC10" s="179"/>
      <c r="AD10" s="179"/>
      <c r="AE10" s="179"/>
      <c r="AF10" s="179"/>
      <c r="AG10" s="179"/>
      <c r="AH10" s="179"/>
      <c r="AI10" s="179"/>
    </row>
    <row r="11" spans="1:47" x14ac:dyDescent="0.3">
      <c r="A11" s="49" t="s">
        <v>79</v>
      </c>
      <c r="B11" s="178"/>
      <c r="C11" s="178"/>
      <c r="D11" s="181">
        <f>'Cons Dev Expe'!D11</f>
        <v>2500</v>
      </c>
      <c r="E11" s="181">
        <f>'Cons Dev Expe'!E11</f>
        <v>2503.75</v>
      </c>
      <c r="F11" s="181">
        <f>'Cons Dev Expe'!F11</f>
        <v>2511.3062500000001</v>
      </c>
      <c r="G11" s="181">
        <f>'Cons Dev Expe'!G11</f>
        <v>2522.72584375</v>
      </c>
      <c r="H11" s="181">
        <f>'Cons Dev Expe'!H11</f>
        <v>2538.0667314062493</v>
      </c>
      <c r="I11" s="181">
        <f>'Cons Dev Expe'!I11</f>
        <v>2557.3877323773431</v>
      </c>
      <c r="J11" s="181">
        <f>'Cons Dev Expe'!J11</f>
        <v>2580.748548363003</v>
      </c>
      <c r="K11" s="181">
        <f>'Cons Dev Expe'!K11</f>
        <v>2608.2097765884478</v>
      </c>
      <c r="L11" s="181">
        <f>'Cons Dev Expe'!L11</f>
        <v>2639.8329232372744</v>
      </c>
      <c r="M11" s="181">
        <f>'Cons Dev Expe'!M11</f>
        <v>2675.6804170858331</v>
      </c>
      <c r="N11" s="181">
        <f>'Cons Dev Expe'!N11</f>
        <v>2715.8156233421205</v>
      </c>
      <c r="O11" s="181">
        <f>'Cons Dev Expe'!O11</f>
        <v>2756.552857692252</v>
      </c>
      <c r="P11" s="181">
        <f>'Cons Dev Expe'!P11</f>
        <v>2797.9011505576354</v>
      </c>
      <c r="Q11" s="181">
        <f>'Cons Dev Expe'!Q11</f>
        <v>2839.8696678159995</v>
      </c>
      <c r="R11" s="181">
        <f>'Cons Dev Expe'!R11</f>
        <v>2882.4677128332391</v>
      </c>
      <c r="S11" s="181">
        <f>'Cons Dev Expe'!S11</f>
        <v>2925.7047285257372</v>
      </c>
      <c r="T11" s="181">
        <f>'Cons Dev Expe'!T11</f>
        <v>2969.5902994536236</v>
      </c>
      <c r="U11" s="181">
        <f>'Cons Dev Expe'!U11</f>
        <v>3014.1341539454279</v>
      </c>
      <c r="V11" s="181">
        <f>'Cons Dev Expe'!V11</f>
        <v>3059.3461662546088</v>
      </c>
      <c r="W11" s="181">
        <f>'Cons Dev Expe'!W11</f>
        <v>3105.2363587484278</v>
      </c>
      <c r="X11" s="181">
        <f>'Cons Dev Expe'!X11</f>
        <v>3151.8149041296538</v>
      </c>
      <c r="Y11" s="101">
        <v>200</v>
      </c>
      <c r="Z11" s="101" t="s">
        <v>36</v>
      </c>
      <c r="AC11" s="179"/>
      <c r="AD11" s="179"/>
      <c r="AE11" s="179"/>
      <c r="AF11" s="179"/>
      <c r="AG11" s="179"/>
      <c r="AH11" s="179"/>
      <c r="AI11" s="179"/>
    </row>
    <row r="12" spans="1:47" x14ac:dyDescent="0.3">
      <c r="A12" s="49" t="s">
        <v>80</v>
      </c>
      <c r="B12" s="178"/>
      <c r="C12" s="178"/>
      <c r="D12" s="181">
        <f>'Cons Dev Expe'!D12</f>
        <v>950</v>
      </c>
      <c r="E12" s="181">
        <f>'Cons Dev Expe'!E12</f>
        <v>951.42499999999995</v>
      </c>
      <c r="F12" s="181">
        <f>'Cons Dev Expe'!F12</f>
        <v>954.2963749999999</v>
      </c>
      <c r="G12" s="181">
        <f>'Cons Dev Expe'!G12</f>
        <v>958.63582062499984</v>
      </c>
      <c r="H12" s="181">
        <f>'Cons Dev Expe'!H12</f>
        <v>964.46535793437477</v>
      </c>
      <c r="I12" s="181">
        <f>'Cons Dev Expe'!I12</f>
        <v>971.80733830339034</v>
      </c>
      <c r="J12" s="181">
        <f>'Cons Dev Expe'!J12</f>
        <v>980.68444837794118</v>
      </c>
      <c r="K12" s="181">
        <f>'Cons Dev Expe'!K12</f>
        <v>991.11971510361025</v>
      </c>
      <c r="L12" s="181">
        <f>'Cons Dev Expe'!L12</f>
        <v>1003.1365108301643</v>
      </c>
      <c r="M12" s="181">
        <f>'Cons Dev Expe'!M12</f>
        <v>1016.7585584926167</v>
      </c>
      <c r="N12" s="181">
        <f>'Cons Dev Expe'!N12</f>
        <v>1032.0099368700057</v>
      </c>
      <c r="O12" s="181">
        <f>'Cons Dev Expe'!O12</f>
        <v>1047.4900859230556</v>
      </c>
      <c r="P12" s="181">
        <f>'Cons Dev Expe'!P12</f>
        <v>1063.2024372119015</v>
      </c>
      <c r="Q12" s="181">
        <f>'Cons Dev Expe'!Q12</f>
        <v>1079.1504737700798</v>
      </c>
      <c r="R12" s="181">
        <f>'Cons Dev Expe'!R12</f>
        <v>1095.337730876631</v>
      </c>
      <c r="S12" s="181">
        <f>'Cons Dev Expe'!S12</f>
        <v>1111.7677968397802</v>
      </c>
      <c r="T12" s="181">
        <f>'Cons Dev Expe'!T12</f>
        <v>1128.4443137923768</v>
      </c>
      <c r="U12" s="181">
        <f>'Cons Dev Expe'!U12</f>
        <v>1145.3709784992625</v>
      </c>
      <c r="V12" s="181">
        <f>'Cons Dev Expe'!V12</f>
        <v>1162.5515431767515</v>
      </c>
      <c r="W12" s="181">
        <f>'Cons Dev Expe'!W12</f>
        <v>1179.9898163244027</v>
      </c>
      <c r="X12" s="181">
        <f>'Cons Dev Expe'!X12</f>
        <v>1197.6896635692685</v>
      </c>
      <c r="Y12" s="101">
        <v>100</v>
      </c>
      <c r="Z12" s="101">
        <v>0.38</v>
      </c>
      <c r="AC12" s="179"/>
      <c r="AD12" s="179"/>
      <c r="AE12" s="179"/>
      <c r="AF12" s="179"/>
      <c r="AG12" s="179"/>
      <c r="AH12" s="179"/>
      <c r="AI12" s="179"/>
    </row>
    <row r="13" spans="1:47" x14ac:dyDescent="0.3">
      <c r="A13" s="49" t="s">
        <v>81</v>
      </c>
      <c r="B13" s="178"/>
      <c r="C13" s="178"/>
      <c r="D13" s="181">
        <f>'Cons Dev Expe'!D13</f>
        <v>500</v>
      </c>
      <c r="E13" s="181">
        <f>'Cons Dev Expe'!E13</f>
        <v>500.75</v>
      </c>
      <c r="F13" s="181">
        <f>'Cons Dev Expe'!F13</f>
        <v>502.26125000000002</v>
      </c>
      <c r="G13" s="181">
        <f>'Cons Dev Expe'!G13</f>
        <v>504.54516875000002</v>
      </c>
      <c r="H13" s="181">
        <f>'Cons Dev Expe'!H13</f>
        <v>507.61334628124996</v>
      </c>
      <c r="I13" s="181">
        <f>'Cons Dev Expe'!I13</f>
        <v>511.47754647546867</v>
      </c>
      <c r="J13" s="181">
        <f>'Cons Dev Expe'!J13</f>
        <v>516.14970967260069</v>
      </c>
      <c r="K13" s="181">
        <f>'Cons Dev Expe'!K13</f>
        <v>521.64195531768962</v>
      </c>
      <c r="L13" s="181">
        <f>'Cons Dev Expe'!L13</f>
        <v>527.96658464745497</v>
      </c>
      <c r="M13" s="181">
        <f>'Cons Dev Expe'!M13</f>
        <v>535.13608341716667</v>
      </c>
      <c r="N13" s="181">
        <f>'Cons Dev Expe'!N13</f>
        <v>543.16312466842419</v>
      </c>
      <c r="O13" s="181">
        <f>'Cons Dev Expe'!O13</f>
        <v>551.3105715384504</v>
      </c>
      <c r="P13" s="181">
        <f>'Cons Dev Expe'!P13</f>
        <v>559.58023011152704</v>
      </c>
      <c r="Q13" s="181">
        <f>'Cons Dev Expe'!Q13</f>
        <v>567.97393356320003</v>
      </c>
      <c r="R13" s="181">
        <f>'Cons Dev Expe'!R13</f>
        <v>576.49354256664787</v>
      </c>
      <c r="S13" s="181">
        <f>'Cons Dev Expe'!S13</f>
        <v>585.14094570514749</v>
      </c>
      <c r="T13" s="181">
        <f>'Cons Dev Expe'!T13</f>
        <v>593.91805989072463</v>
      </c>
      <c r="U13" s="181">
        <f>'Cons Dev Expe'!U13</f>
        <v>602.82683078908553</v>
      </c>
      <c r="V13" s="181">
        <f>'Cons Dev Expe'!V13</f>
        <v>611.86923325092187</v>
      </c>
      <c r="W13" s="181">
        <f>'Cons Dev Expe'!W13</f>
        <v>621.04727174968559</v>
      </c>
      <c r="X13" s="181">
        <f>'Cons Dev Expe'!X13</f>
        <v>630.36298082593078</v>
      </c>
      <c r="Y13" s="101">
        <v>102</v>
      </c>
      <c r="Z13" s="101">
        <v>0.2</v>
      </c>
      <c r="AC13" s="179"/>
      <c r="AD13" s="179"/>
      <c r="AE13" s="179"/>
      <c r="AF13" s="179"/>
      <c r="AG13" s="179"/>
      <c r="AH13" s="179"/>
      <c r="AI13" s="179"/>
    </row>
    <row r="14" spans="1:47" x14ac:dyDescent="0.3">
      <c r="A14" s="49" t="s">
        <v>82</v>
      </c>
      <c r="B14" s="178"/>
      <c r="C14" s="178"/>
      <c r="D14" s="181">
        <f>'Cons Dev Expe'!D14</f>
        <v>750</v>
      </c>
      <c r="E14" s="181">
        <f>'Cons Dev Expe'!E14</f>
        <v>751.125</v>
      </c>
      <c r="F14" s="181">
        <f>'Cons Dev Expe'!F14</f>
        <v>753.39187500000003</v>
      </c>
      <c r="G14" s="181">
        <f>'Cons Dev Expe'!G14</f>
        <v>756.81775312499997</v>
      </c>
      <c r="H14" s="181">
        <f>'Cons Dev Expe'!H14</f>
        <v>761.42001942187494</v>
      </c>
      <c r="I14" s="181">
        <f>'Cons Dev Expe'!I14</f>
        <v>767.21631971320301</v>
      </c>
      <c r="J14" s="181">
        <f>'Cons Dev Expe'!J14</f>
        <v>774.22456450890104</v>
      </c>
      <c r="K14" s="181">
        <f>'Cons Dev Expe'!K14</f>
        <v>782.46293297653426</v>
      </c>
      <c r="L14" s="181">
        <f>'Cons Dev Expe'!L14</f>
        <v>791.94987697118222</v>
      </c>
      <c r="M14" s="181">
        <f>'Cons Dev Expe'!M14</f>
        <v>802.7041251257499</v>
      </c>
      <c r="N14" s="181">
        <f>'Cons Dev Expe'!N14</f>
        <v>814.74468700263606</v>
      </c>
      <c r="O14" s="181">
        <f>'Cons Dev Expe'!O14</f>
        <v>826.96585730767549</v>
      </c>
      <c r="P14" s="181">
        <f>'Cons Dev Expe'!P14</f>
        <v>839.37034516729057</v>
      </c>
      <c r="Q14" s="181">
        <f>'Cons Dev Expe'!Q14</f>
        <v>851.96090034479982</v>
      </c>
      <c r="R14" s="181">
        <f>'Cons Dev Expe'!R14</f>
        <v>864.7403138499717</v>
      </c>
      <c r="S14" s="181">
        <f>'Cons Dev Expe'!S14</f>
        <v>877.71141855772123</v>
      </c>
      <c r="T14" s="181">
        <f>'Cons Dev Expe'!T14</f>
        <v>890.87708983608695</v>
      </c>
      <c r="U14" s="181">
        <f>'Cons Dev Expe'!U14</f>
        <v>904.2402461836283</v>
      </c>
      <c r="V14" s="181">
        <f>'Cons Dev Expe'!V14</f>
        <v>917.80384987638274</v>
      </c>
      <c r="W14" s="181">
        <f>'Cons Dev Expe'!W14</f>
        <v>931.57090762452845</v>
      </c>
      <c r="X14" s="181">
        <f>'Cons Dev Expe'!X14</f>
        <v>945.54447123889634</v>
      </c>
      <c r="Y14" s="101">
        <v>65</v>
      </c>
      <c r="Z14" s="101">
        <v>0.3</v>
      </c>
      <c r="AC14" s="179"/>
      <c r="AD14" s="179"/>
      <c r="AE14" s="179"/>
      <c r="AF14" s="179"/>
      <c r="AG14" s="179"/>
      <c r="AH14" s="179"/>
      <c r="AI14" s="179"/>
    </row>
    <row r="15" spans="1:47" x14ac:dyDescent="0.3">
      <c r="A15" s="49" t="s">
        <v>83</v>
      </c>
      <c r="B15" s="178"/>
      <c r="C15" s="178"/>
      <c r="D15" s="181">
        <f>'Cons Dev Expe'!D15</f>
        <v>875</v>
      </c>
      <c r="E15" s="181">
        <f>'Cons Dev Expe'!E15</f>
        <v>876.3125</v>
      </c>
      <c r="F15" s="181">
        <f>'Cons Dev Expe'!F15</f>
        <v>878.95718749999992</v>
      </c>
      <c r="G15" s="181">
        <f>'Cons Dev Expe'!G15</f>
        <v>882.95404531249983</v>
      </c>
      <c r="H15" s="181">
        <f>'Cons Dev Expe'!H15</f>
        <v>888.32335599218732</v>
      </c>
      <c r="I15" s="181">
        <f>'Cons Dev Expe'!I15</f>
        <v>895.08570633207</v>
      </c>
      <c r="J15" s="181">
        <f>'Cons Dev Expe'!J15</f>
        <v>903.26199192705099</v>
      </c>
      <c r="K15" s="181">
        <f>'Cons Dev Expe'!K15</f>
        <v>912.8734218059567</v>
      </c>
      <c r="L15" s="181">
        <f>'Cons Dev Expe'!L15</f>
        <v>923.94152313304596</v>
      </c>
      <c r="M15" s="181">
        <f>'Cons Dev Expe'!M15</f>
        <v>936.48814598004162</v>
      </c>
      <c r="N15" s="181">
        <f>'Cons Dev Expe'!N15</f>
        <v>950.53546816974199</v>
      </c>
      <c r="O15" s="181">
        <f>'Cons Dev Expe'!O15</f>
        <v>964.79350019228798</v>
      </c>
      <c r="P15" s="181">
        <f>'Cons Dev Expe'!P15</f>
        <v>979.26540269517227</v>
      </c>
      <c r="Q15" s="181">
        <f>'Cons Dev Expe'!Q15</f>
        <v>993.95438373559978</v>
      </c>
      <c r="R15" s="181">
        <f>'Cons Dev Expe'!R15</f>
        <v>1008.8636994916337</v>
      </c>
      <c r="S15" s="181">
        <f>'Cons Dev Expe'!S15</f>
        <v>1023.996654984008</v>
      </c>
      <c r="T15" s="181">
        <f>'Cons Dev Expe'!T15</f>
        <v>1039.356604808768</v>
      </c>
      <c r="U15" s="181">
        <f>'Cons Dev Expe'!U15</f>
        <v>1054.9469538808994</v>
      </c>
      <c r="V15" s="181">
        <f>'Cons Dev Expe'!V15</f>
        <v>1070.7711581891128</v>
      </c>
      <c r="W15" s="181">
        <f>'Cons Dev Expe'!W15</f>
        <v>1086.8327255619497</v>
      </c>
      <c r="X15" s="181">
        <f>'Cons Dev Expe'!X15</f>
        <v>1103.1352164453788</v>
      </c>
      <c r="Y15" s="101">
        <v>28</v>
      </c>
      <c r="Z15" s="101">
        <v>0.35</v>
      </c>
      <c r="AC15" s="179"/>
      <c r="AD15" s="179"/>
      <c r="AE15" s="179"/>
      <c r="AF15" s="179"/>
      <c r="AG15" s="179"/>
      <c r="AH15" s="179"/>
      <c r="AI15" s="179"/>
    </row>
    <row r="17" spans="1:25" x14ac:dyDescent="0.3">
      <c r="B17" s="105" t="s">
        <v>9</v>
      </c>
    </row>
    <row r="18" spans="1:25" x14ac:dyDescent="0.3">
      <c r="A18" s="101" t="s">
        <v>1</v>
      </c>
      <c r="D18" s="178">
        <f t="shared" ref="D18:D23" si="3">D3*$Y3/1000</f>
        <v>224.84</v>
      </c>
      <c r="E18" s="178">
        <f>E3*$Y3/1000*AB5</f>
        <v>223.02719999999999</v>
      </c>
      <c r="F18" s="178">
        <f t="shared" ref="F18:X18" si="4">F3*$Y$3/1000*AC5</f>
        <v>221.87503799999999</v>
      </c>
      <c r="G18" s="178">
        <f t="shared" si="4"/>
        <v>220.07894986439999</v>
      </c>
      <c r="H18" s="178">
        <f t="shared" si="4"/>
        <v>217.67114039844887</v>
      </c>
      <c r="I18" s="178">
        <f t="shared" si="4"/>
        <v>214.68266221412725</v>
      </c>
      <c r="J18" s="178">
        <f t="shared" si="4"/>
        <v>211.14345261372767</v>
      </c>
      <c r="K18" s="178">
        <f t="shared" si="4"/>
        <v>207.08236934258878</v>
      </c>
      <c r="L18" s="178">
        <f t="shared" si="4"/>
        <v>202.12121757951351</v>
      </c>
      <c r="M18" s="178">
        <f t="shared" si="4"/>
        <v>196.09800529564401</v>
      </c>
      <c r="N18" s="178">
        <f t="shared" si="4"/>
        <v>190.25428473783384</v>
      </c>
      <c r="O18" s="178">
        <f t="shared" si="4"/>
        <v>184.58470705264634</v>
      </c>
      <c r="P18" s="178">
        <f t="shared" si="4"/>
        <v>179.08408278247748</v>
      </c>
      <c r="Q18" s="178">
        <f t="shared" si="4"/>
        <v>173.74737711555966</v>
      </c>
      <c r="R18" s="178">
        <f t="shared" si="4"/>
        <v>168.56970527751599</v>
      </c>
      <c r="S18" s="178">
        <f t="shared" si="4"/>
        <v>163.54632806024603</v>
      </c>
      <c r="T18" s="178">
        <f t="shared" si="4"/>
        <v>158.67264748405066</v>
      </c>
      <c r="U18" s="178">
        <f t="shared" si="4"/>
        <v>153.94420258902596</v>
      </c>
      <c r="V18" s="178">
        <f t="shared" si="4"/>
        <v>149.356665351873</v>
      </c>
      <c r="W18" s="178">
        <f t="shared" si="4"/>
        <v>144.90583672438726</v>
      </c>
      <c r="X18" s="178">
        <f t="shared" si="4"/>
        <v>140.5876427900005</v>
      </c>
      <c r="Y18" s="182"/>
    </row>
    <row r="19" spans="1:25" x14ac:dyDescent="0.3">
      <c r="A19" s="101" t="s">
        <v>2</v>
      </c>
      <c r="D19" s="178">
        <f t="shared" si="3"/>
        <v>109.998</v>
      </c>
      <c r="E19" s="178">
        <f t="shared" ref="E19:X19" si="5">E4*$Y4/1000*AB5</f>
        <v>109.18611</v>
      </c>
      <c r="F19" s="178">
        <f t="shared" si="5"/>
        <v>108.7597368</v>
      </c>
      <c r="G19" s="178">
        <f t="shared" si="5"/>
        <v>108.01285022285998</v>
      </c>
      <c r="H19" s="178">
        <f t="shared" si="5"/>
        <v>106.96138321590097</v>
      </c>
      <c r="I19" s="178">
        <f t="shared" si="5"/>
        <v>105.62069961356991</v>
      </c>
      <c r="J19" s="178">
        <f t="shared" si="5"/>
        <v>104.00561234505957</v>
      </c>
      <c r="K19" s="178">
        <f t="shared" si="5"/>
        <v>102.13040108381088</v>
      </c>
      <c r="L19" s="178">
        <f t="shared" si="5"/>
        <v>99.740310649637706</v>
      </c>
      <c r="M19" s="178">
        <f t="shared" si="5"/>
        <v>96.768049392278527</v>
      </c>
      <c r="N19" s="178">
        <f t="shared" si="5"/>
        <v>93.884361520388623</v>
      </c>
      <c r="O19" s="178">
        <f t="shared" si="5"/>
        <v>91.08660754708103</v>
      </c>
      <c r="P19" s="178">
        <f t="shared" si="5"/>
        <v>88.37222664217802</v>
      </c>
      <c r="Q19" s="178">
        <f t="shared" si="5"/>
        <v>85.738734288241133</v>
      </c>
      <c r="R19" s="178">
        <f t="shared" si="5"/>
        <v>83.183720006451523</v>
      </c>
      <c r="S19" s="178">
        <f t="shared" si="5"/>
        <v>80.70484515025926</v>
      </c>
      <c r="T19" s="178">
        <f t="shared" si="5"/>
        <v>78.299840764781536</v>
      </c>
      <c r="U19" s="178">
        <f t="shared" si="5"/>
        <v>75.966505509991023</v>
      </c>
      <c r="V19" s="178">
        <f t="shared" si="5"/>
        <v>73.702703645793292</v>
      </c>
      <c r="W19" s="178">
        <f t="shared" si="5"/>
        <v>71.506363077148649</v>
      </c>
      <c r="X19" s="178">
        <f t="shared" si="5"/>
        <v>69.375473457449601</v>
      </c>
      <c r="Y19" s="178"/>
    </row>
    <row r="20" spans="1:25" x14ac:dyDescent="0.3">
      <c r="A20" s="101" t="s">
        <v>3</v>
      </c>
      <c r="D20" s="178">
        <f t="shared" si="3"/>
        <v>112.56</v>
      </c>
      <c r="E20" s="178">
        <f t="shared" ref="E20:X20" si="6">E5*$Y5/1000*AB5</f>
        <v>112.5432</v>
      </c>
      <c r="F20" s="178">
        <f t="shared" si="6"/>
        <v>114.946128</v>
      </c>
      <c r="G20" s="178">
        <f t="shared" si="6"/>
        <v>120.23945207999999</v>
      </c>
      <c r="H20" s="178">
        <f t="shared" si="6"/>
        <v>129.10410374399999</v>
      </c>
      <c r="I20" s="178">
        <f t="shared" si="6"/>
        <v>141.73555703709599</v>
      </c>
      <c r="J20" s="178">
        <f t="shared" si="6"/>
        <v>158.5452571591284</v>
      </c>
      <c r="K20" s="178">
        <f t="shared" si="6"/>
        <v>180.07987972265076</v>
      </c>
      <c r="L20" s="178">
        <f t="shared" si="6"/>
        <v>205.93101754085373</v>
      </c>
      <c r="M20" s="178">
        <f t="shared" si="6"/>
        <v>235.60188027964222</v>
      </c>
      <c r="N20" s="178">
        <f t="shared" si="6"/>
        <v>269.47049322380241</v>
      </c>
      <c r="O20" s="178">
        <f t="shared" si="6"/>
        <v>290.20735953409877</v>
      </c>
      <c r="P20" s="178">
        <f t="shared" si="6"/>
        <v>299.33683836686544</v>
      </c>
      <c r="Q20" s="178">
        <f t="shared" si="6"/>
        <v>297.8938184216114</v>
      </c>
      <c r="R20" s="178">
        <f t="shared" si="6"/>
        <v>286.54751180281755</v>
      </c>
      <c r="S20" s="178">
        <f t="shared" si="6"/>
        <v>265.69479608000188</v>
      </c>
      <c r="T20" s="178">
        <f t="shared" si="6"/>
        <v>235.48340647160958</v>
      </c>
      <c r="U20" s="178">
        <f t="shared" si="6"/>
        <v>195.82800082179048</v>
      </c>
      <c r="V20" s="178">
        <f t="shared" si="6"/>
        <v>162.85056548340094</v>
      </c>
      <c r="W20" s="178">
        <f t="shared" si="6"/>
        <v>135.42653025599617</v>
      </c>
      <c r="X20" s="178">
        <f t="shared" si="6"/>
        <v>112.62070256088639</v>
      </c>
      <c r="Y20" s="178"/>
    </row>
    <row r="21" spans="1:25" x14ac:dyDescent="0.3">
      <c r="A21" s="101" t="s">
        <v>4</v>
      </c>
      <c r="D21" s="180">
        <f t="shared" si="3"/>
        <v>5.25</v>
      </c>
      <c r="E21" s="178">
        <f t="shared" ref="E21:W21" si="7">E6*$Y6/1000*AB5</f>
        <v>5.742</v>
      </c>
      <c r="F21" s="178">
        <f t="shared" si="7"/>
        <v>7.3997549999999999</v>
      </c>
      <c r="G21" s="178">
        <f t="shared" si="7"/>
        <v>9.9940797000000003</v>
      </c>
      <c r="H21" s="178">
        <f t="shared" si="7"/>
        <v>13.328269638749999</v>
      </c>
      <c r="I21" s="178">
        <f>I6*$Y6/1000*AF5</f>
        <v>16.475902614517498</v>
      </c>
      <c r="J21" s="178">
        <f t="shared" si="7"/>
        <v>18.94493430632162</v>
      </c>
      <c r="K21" s="178">
        <f t="shared" si="7"/>
        <v>20.421435264473661</v>
      </c>
      <c r="L21" s="178">
        <f t="shared" si="7"/>
        <v>21.228081957420372</v>
      </c>
      <c r="M21" s="178">
        <f t="shared" si="7"/>
        <v>22.066591194738479</v>
      </c>
      <c r="N21" s="178">
        <f t="shared" si="7"/>
        <v>22.938221546930645</v>
      </c>
      <c r="O21" s="178">
        <f t="shared" si="7"/>
        <v>23.447051317961737</v>
      </c>
      <c r="P21" s="178">
        <f t="shared" si="7"/>
        <v>23.586840474143184</v>
      </c>
      <c r="Q21" s="178">
        <f t="shared" si="7"/>
        <v>23.350834422002535</v>
      </c>
      <c r="R21" s="178">
        <f t="shared" si="7"/>
        <v>23.117326077782508</v>
      </c>
      <c r="S21" s="178">
        <f t="shared" si="7"/>
        <v>22.886152817004682</v>
      </c>
      <c r="T21" s="178">
        <f t="shared" si="7"/>
        <v>22.657291288834635</v>
      </c>
      <c r="U21" s="178">
        <f t="shared" si="7"/>
        <v>22.430718375946288</v>
      </c>
      <c r="V21" s="178">
        <f t="shared" si="7"/>
        <v>22.206411192186824</v>
      </c>
      <c r="W21" s="178">
        <f t="shared" si="7"/>
        <v>21.984347080264957</v>
      </c>
      <c r="X21" s="178">
        <f>X6*$Y6/1000*AU5</f>
        <v>21.764503609462306</v>
      </c>
      <c r="Y21" s="178"/>
    </row>
    <row r="22" spans="1:25" x14ac:dyDescent="0.3">
      <c r="A22" s="101" t="s">
        <v>5</v>
      </c>
      <c r="D22" s="180">
        <f t="shared" si="3"/>
        <v>2.25</v>
      </c>
      <c r="E22" s="178">
        <f t="shared" ref="E22:X22" si="8">E7*$Y7/1000*AB5</f>
        <v>2.9699999999999998</v>
      </c>
      <c r="F22" s="178">
        <f t="shared" si="8"/>
        <v>4.41045</v>
      </c>
      <c r="G22" s="178">
        <f t="shared" si="8"/>
        <v>6.6513996449999997</v>
      </c>
      <c r="H22" s="178">
        <f t="shared" si="8"/>
        <v>8.8326803119499999</v>
      </c>
      <c r="I22" s="178">
        <f t="shared" si="8"/>
        <v>11.183642986823999</v>
      </c>
      <c r="J22" s="178">
        <f t="shared" si="8"/>
        <v>13.361721650336341</v>
      </c>
      <c r="K22" s="178">
        <f t="shared" si="8"/>
        <v>15.584214172722811</v>
      </c>
      <c r="L22" s="178">
        <f t="shared" si="8"/>
        <v>17.742627835644917</v>
      </c>
      <c r="M22" s="178">
        <f t="shared" si="8"/>
        <v>20.199981790881736</v>
      </c>
      <c r="N22" s="178">
        <f t="shared" si="8"/>
        <v>21.849399042603132</v>
      </c>
      <c r="O22" s="178">
        <f t="shared" si="8"/>
        <v>22.608602674513033</v>
      </c>
      <c r="P22" s="178">
        <f t="shared" si="8"/>
        <v>22.376786086473679</v>
      </c>
      <c r="Q22" s="178">
        <f t="shared" si="8"/>
        <v>22.153018225608943</v>
      </c>
      <c r="R22" s="178">
        <f t="shared" si="8"/>
        <v>21.931488043352854</v>
      </c>
      <c r="S22" s="178">
        <f t="shared" si="8"/>
        <v>21.712173162919324</v>
      </c>
      <c r="T22" s="178">
        <f t="shared" si="8"/>
        <v>21.495051431290129</v>
      </c>
      <c r="U22" s="178">
        <f t="shared" si="8"/>
        <v>21.280100916977229</v>
      </c>
      <c r="V22" s="178">
        <f t="shared" si="8"/>
        <v>21.067299907807456</v>
      </c>
      <c r="W22" s="178">
        <f t="shared" si="8"/>
        <v>20.856626908729382</v>
      </c>
      <c r="X22" s="178">
        <f t="shared" si="8"/>
        <v>20.64806063964209</v>
      </c>
      <c r="Y22" s="178"/>
    </row>
    <row r="23" spans="1:25" x14ac:dyDescent="0.3">
      <c r="A23" s="49" t="s">
        <v>40</v>
      </c>
      <c r="D23" s="178">
        <f t="shared" si="3"/>
        <v>3.75</v>
      </c>
      <c r="E23" s="178">
        <f t="shared" ref="E23:X23" si="9">E8*$Y8/1000*AB5</f>
        <v>3.7223999999999999</v>
      </c>
      <c r="F23" s="178">
        <f t="shared" si="9"/>
        <v>3.4891559999999999</v>
      </c>
      <c r="G23" s="178">
        <f t="shared" si="9"/>
        <v>3.1204815839999998</v>
      </c>
      <c r="H23" s="178">
        <f t="shared" si="9"/>
        <v>2.4485592294899998</v>
      </c>
      <c r="I23" s="178">
        <f t="shared" si="9"/>
        <v>2.1520904829236995</v>
      </c>
      <c r="J23" s="178">
        <f t="shared" si="9"/>
        <v>1.9609148551724027</v>
      </c>
      <c r="K23" s="178">
        <f t="shared" si="9"/>
        <v>2.0312593333471822</v>
      </c>
      <c r="L23" s="178">
        <f t="shared" si="9"/>
        <v>1.9103994030130242</v>
      </c>
      <c r="M23" s="178">
        <f t="shared" si="9"/>
        <v>1.7967306385337491</v>
      </c>
      <c r="N23" s="178">
        <f t="shared" si="9"/>
        <v>1.689825165540991</v>
      </c>
      <c r="O23" s="178">
        <f t="shared" si="9"/>
        <v>1.589280568191302</v>
      </c>
      <c r="P23" s="178">
        <f t="shared" si="9"/>
        <v>1.4947183743839196</v>
      </c>
      <c r="Q23" s="178">
        <f t="shared" si="9"/>
        <v>1.4057826311080761</v>
      </c>
      <c r="R23" s="178">
        <f t="shared" si="9"/>
        <v>1.3221385645571455</v>
      </c>
      <c r="S23" s="178">
        <f t="shared" si="9"/>
        <v>1.2434713199659952</v>
      </c>
      <c r="T23" s="178">
        <f t="shared" si="9"/>
        <v>1.1694847764280187</v>
      </c>
      <c r="U23" s="178">
        <f t="shared" si="9"/>
        <v>1.0999004322305515</v>
      </c>
      <c r="V23" s="178">
        <f t="shared" si="9"/>
        <v>1.0344563565128335</v>
      </c>
      <c r="W23" s="178">
        <f t="shared" si="9"/>
        <v>0.97290620330031985</v>
      </c>
      <c r="X23" s="178">
        <f t="shared" si="9"/>
        <v>0.91501828420395082</v>
      </c>
      <c r="Y23" s="178"/>
    </row>
    <row r="24" spans="1:25" x14ac:dyDescent="0.3">
      <c r="A24" s="49" t="s">
        <v>62</v>
      </c>
      <c r="D24" s="178">
        <f>D9*$Y$9/1000</f>
        <v>0</v>
      </c>
      <c r="E24" s="178">
        <f t="shared" ref="E24:X24" si="10">E9*$Y$9/1000*AB5</f>
        <v>0</v>
      </c>
      <c r="F24" s="178">
        <f t="shared" si="10"/>
        <v>9.801E-2</v>
      </c>
      <c r="G24" s="178">
        <f t="shared" si="10"/>
        <v>0.5821793999999999</v>
      </c>
      <c r="H24" s="178">
        <f t="shared" si="10"/>
        <v>1.5369536159999999</v>
      </c>
      <c r="I24" s="178">
        <f t="shared" si="10"/>
        <v>2.789570813039997</v>
      </c>
      <c r="J24" s="178">
        <f t="shared" si="10"/>
        <v>4.0640559782476426</v>
      </c>
      <c r="K24" s="178">
        <f t="shared" si="10"/>
        <v>5.2661692156744833</v>
      </c>
      <c r="L24" s="178">
        <f t="shared" si="10"/>
        <v>6.4592128609954305</v>
      </c>
      <c r="M24" s="178">
        <f t="shared" si="10"/>
        <v>7.6278690164883898</v>
      </c>
      <c r="N24" s="178">
        <f t="shared" si="10"/>
        <v>8.7725061275853911</v>
      </c>
      <c r="O24" s="178">
        <f t="shared" si="10"/>
        <v>10.018238172985518</v>
      </c>
      <c r="P24" s="178">
        <f t="shared" si="10"/>
        <v>11.445261469827683</v>
      </c>
      <c r="Q24" s="178">
        <f t="shared" si="10"/>
        <v>13.143738271950109</v>
      </c>
      <c r="R24" s="178">
        <f t="shared" si="10"/>
        <v>15.094269031507508</v>
      </c>
      <c r="S24" s="178">
        <f t="shared" si="10"/>
        <v>17.334258555783222</v>
      </c>
      <c r="T24" s="178">
        <f t="shared" si="10"/>
        <v>19.906662525461446</v>
      </c>
      <c r="U24" s="178">
        <f t="shared" si="10"/>
        <v>22.860811244239926</v>
      </c>
      <c r="V24" s="178">
        <f t="shared" si="10"/>
        <v>26.253355632885125</v>
      </c>
      <c r="W24" s="178">
        <f t="shared" si="10"/>
        <v>30.149353608805274</v>
      </c>
      <c r="X24" s="178">
        <f t="shared" si="10"/>
        <v>34.62351768435196</v>
      </c>
      <c r="Y24" s="178"/>
    </row>
    <row r="25" spans="1:25" x14ac:dyDescent="0.3">
      <c r="D25" s="183">
        <f>SUM(D18:D24)</f>
        <v>458.64800000000002</v>
      </c>
      <c r="E25" s="183">
        <f t="shared" ref="E25:M25" si="11">SUM(E18:E23)</f>
        <v>457.19091000000003</v>
      </c>
      <c r="F25" s="183">
        <f t="shared" si="11"/>
        <v>460.88026380000002</v>
      </c>
      <c r="G25" s="183">
        <f t="shared" si="11"/>
        <v>468.09721309625996</v>
      </c>
      <c r="H25" s="183">
        <f t="shared" si="11"/>
        <v>478.34613653853984</v>
      </c>
      <c r="I25" s="183">
        <f t="shared" si="11"/>
        <v>491.85055494905833</v>
      </c>
      <c r="J25" s="183">
        <f t="shared" si="11"/>
        <v>507.96189292974594</v>
      </c>
      <c r="K25" s="183">
        <f t="shared" si="11"/>
        <v>527.32955891959398</v>
      </c>
      <c r="L25" s="183">
        <f t="shared" si="11"/>
        <v>548.67365496608329</v>
      </c>
      <c r="M25" s="183">
        <f t="shared" si="11"/>
        <v>572.53123859171887</v>
      </c>
      <c r="N25" s="183">
        <f>SUM(N18:N23)</f>
        <v>600.08658523709971</v>
      </c>
      <c r="O25" s="183">
        <f t="shared" ref="O25:X25" si="12">SUM(O18:O23)</f>
        <v>613.52360869449205</v>
      </c>
      <c r="P25" s="183">
        <f t="shared" si="12"/>
        <v>614.25149272652163</v>
      </c>
      <c r="Q25" s="183">
        <f t="shared" si="12"/>
        <v>604.28956510413173</v>
      </c>
      <c r="R25" s="183">
        <f t="shared" si="12"/>
        <v>584.67188977247758</v>
      </c>
      <c r="S25" s="183">
        <f t="shared" si="12"/>
        <v>555.78776659039715</v>
      </c>
      <c r="T25" s="183">
        <f t="shared" si="12"/>
        <v>517.77772221699456</v>
      </c>
      <c r="U25" s="183">
        <f t="shared" si="12"/>
        <v>470.54942864596148</v>
      </c>
      <c r="V25" s="183">
        <f t="shared" si="12"/>
        <v>430.21810193757432</v>
      </c>
      <c r="W25" s="183">
        <f t="shared" si="12"/>
        <v>395.65261024982675</v>
      </c>
      <c r="X25" s="183">
        <f t="shared" si="12"/>
        <v>365.91140134164482</v>
      </c>
      <c r="Y25" s="182"/>
    </row>
    <row r="26" spans="1:25" x14ac:dyDescent="0.3">
      <c r="A26" s="101" t="s">
        <v>6</v>
      </c>
      <c r="D26" s="178">
        <f>D11*$Y11/1000</f>
        <v>500</v>
      </c>
      <c r="E26" s="178">
        <f t="shared" ref="E26:W26" si="13">E11*$Y11/1000*AB5</f>
        <v>495.74250000000001</v>
      </c>
      <c r="F26" s="178">
        <f t="shared" si="13"/>
        <v>492.266251125</v>
      </c>
      <c r="G26" s="178">
        <f t="shared" si="13"/>
        <v>489.55967269295621</v>
      </c>
      <c r="H26" s="178">
        <f t="shared" si="13"/>
        <v>487.61135506051698</v>
      </c>
      <c r="I26" s="178">
        <f t="shared" si="13"/>
        <v>486.41005744543543</v>
      </c>
      <c r="J26" s="178">
        <f t="shared" si="13"/>
        <v>485.94470577584269</v>
      </c>
      <c r="K26" s="178">
        <f t="shared" si="13"/>
        <v>486.20439056606489</v>
      </c>
      <c r="L26" s="178">
        <f t="shared" si="13"/>
        <v>487.17836481866829</v>
      </c>
      <c r="M26" s="178">
        <f t="shared" si="13"/>
        <v>488.85604195242593</v>
      </c>
      <c r="N26" s="178">
        <f>N11*$Y11/1000*AK5</f>
        <v>491.22699375589531</v>
      </c>
      <c r="O26" s="178">
        <f t="shared" si="13"/>
        <v>493.60944467561131</v>
      </c>
      <c r="P26" s="178">
        <f t="shared" si="13"/>
        <v>496.00345048228803</v>
      </c>
      <c r="Q26" s="178">
        <f t="shared" si="13"/>
        <v>498.40906721712696</v>
      </c>
      <c r="R26" s="178">
        <f t="shared" si="13"/>
        <v>500.82635119312999</v>
      </c>
      <c r="S26" s="178">
        <f t="shared" si="13"/>
        <v>503.25535899641659</v>
      </c>
      <c r="T26" s="178">
        <f t="shared" si="13"/>
        <v>505.69614748754924</v>
      </c>
      <c r="U26" s="178">
        <f t="shared" si="13"/>
        <v>508.14877380286384</v>
      </c>
      <c r="V26" s="178">
        <f t="shared" si="13"/>
        <v>510.61329535580757</v>
      </c>
      <c r="W26" s="178">
        <f t="shared" si="13"/>
        <v>513.08976983828325</v>
      </c>
      <c r="X26" s="314">
        <f>X11*'Cons Dev Worst'!$Y11/1000*AU5</f>
        <v>515.5782552219988</v>
      </c>
    </row>
    <row r="27" spans="1:25" x14ac:dyDescent="0.3">
      <c r="A27" s="101" t="s">
        <v>7</v>
      </c>
      <c r="D27" s="178">
        <f>D12*$Y12/1000</f>
        <v>95</v>
      </c>
      <c r="E27" s="178">
        <f t="shared" ref="E27:X27" si="14">E12*$Y12/1000*AB5</f>
        <v>94.191074999999998</v>
      </c>
      <c r="F27" s="178">
        <f t="shared" si="14"/>
        <v>93.530587713749981</v>
      </c>
      <c r="G27" s="178">
        <f t="shared" si="14"/>
        <v>93.016337811661671</v>
      </c>
      <c r="H27" s="178">
        <f t="shared" si="14"/>
        <v>92.64615746149822</v>
      </c>
      <c r="I27" s="178">
        <f t="shared" si="14"/>
        <v>92.417910914632714</v>
      </c>
      <c r="J27" s="178">
        <f t="shared" si="14"/>
        <v>92.329494097410119</v>
      </c>
      <c r="K27" s="178">
        <f t="shared" si="14"/>
        <v>92.378834207552316</v>
      </c>
      <c r="L27" s="178">
        <f t="shared" si="14"/>
        <v>92.563889315546987</v>
      </c>
      <c r="M27" s="178">
        <f t="shared" si="14"/>
        <v>92.882647970960946</v>
      </c>
      <c r="N27" s="178">
        <f t="shared" si="14"/>
        <v>93.333128813620093</v>
      </c>
      <c r="O27" s="178">
        <f t="shared" si="14"/>
        <v>93.785794488366122</v>
      </c>
      <c r="P27" s="178">
        <f t="shared" si="14"/>
        <v>94.24065559163472</v>
      </c>
      <c r="Q27" s="178">
        <f t="shared" si="14"/>
        <v>94.697722771254121</v>
      </c>
      <c r="R27" s="178">
        <f t="shared" si="14"/>
        <v>95.157006726694689</v>
      </c>
      <c r="S27" s="178">
        <f t="shared" si="14"/>
        <v>95.618518209319149</v>
      </c>
      <c r="T27" s="178">
        <f t="shared" si="14"/>
        <v>96.082268022634324</v>
      </c>
      <c r="U27" s="178">
        <f t="shared" si="14"/>
        <v>96.54826702254411</v>
      </c>
      <c r="V27" s="178">
        <f t="shared" si="14"/>
        <v>97.016526117603462</v>
      </c>
      <c r="W27" s="178">
        <f t="shared" si="14"/>
        <v>97.487056269273822</v>
      </c>
      <c r="X27" s="178">
        <f t="shared" si="14"/>
        <v>97.959868492179794</v>
      </c>
    </row>
    <row r="28" spans="1:25" x14ac:dyDescent="0.3">
      <c r="A28" s="101" t="s">
        <v>8</v>
      </c>
      <c r="D28" s="178">
        <f>D13*$Y13/1000</f>
        <v>51</v>
      </c>
      <c r="E28" s="178">
        <f t="shared" ref="E28:X28" si="15">E13*$Y13/1000*AB5</f>
        <v>50.565735000000004</v>
      </c>
      <c r="F28" s="178">
        <f t="shared" si="15"/>
        <v>50.211157614749993</v>
      </c>
      <c r="G28" s="178">
        <f t="shared" si="15"/>
        <v>49.935086614681531</v>
      </c>
      <c r="H28" s="178">
        <f t="shared" si="15"/>
        <v>49.736358216172739</v>
      </c>
      <c r="I28" s="178">
        <f t="shared" si="15"/>
        <v>49.613825859434421</v>
      </c>
      <c r="J28" s="178">
        <f t="shared" si="15"/>
        <v>49.566359989135968</v>
      </c>
      <c r="K28" s="178">
        <f t="shared" si="15"/>
        <v>49.592847837738617</v>
      </c>
      <c r="L28" s="178">
        <f t="shared" si="15"/>
        <v>49.692193211504176</v>
      </c>
      <c r="M28" s="178">
        <f t="shared" si="15"/>
        <v>49.863316279147462</v>
      </c>
      <c r="N28" s="178">
        <f t="shared" si="15"/>
        <v>50.105153363101323</v>
      </c>
      <c r="O28" s="178">
        <f t="shared" si="15"/>
        <v>50.348163356912352</v>
      </c>
      <c r="P28" s="178">
        <f t="shared" si="15"/>
        <v>50.592351949193365</v>
      </c>
      <c r="Q28" s="178">
        <f t="shared" si="15"/>
        <v>50.837724856146963</v>
      </c>
      <c r="R28" s="178">
        <f t="shared" si="15"/>
        <v>51.084287821699256</v>
      </c>
      <c r="S28" s="178">
        <f t="shared" si="15"/>
        <v>51.332046617634489</v>
      </c>
      <c r="T28" s="178">
        <f t="shared" si="15"/>
        <v>51.581007043730011</v>
      </c>
      <c r="U28" s="178">
        <f t="shared" si="15"/>
        <v>51.8311749278921</v>
      </c>
      <c r="V28" s="178">
        <f t="shared" si="15"/>
        <v>52.082556126292381</v>
      </c>
      <c r="W28" s="178">
        <f t="shared" si="15"/>
        <v>52.335156523504892</v>
      </c>
      <c r="X28" s="178">
        <f t="shared" si="15"/>
        <v>52.588982032643884</v>
      </c>
    </row>
    <row r="29" spans="1:25" x14ac:dyDescent="0.3">
      <c r="A29" s="101" t="s">
        <v>12</v>
      </c>
      <c r="D29" s="178">
        <f>D14*$Y14/1000</f>
        <v>48.75</v>
      </c>
      <c r="E29" s="178">
        <f t="shared" ref="E29:X29" si="16">E14*$Y14/1000*AB5</f>
        <v>48.334893749999999</v>
      </c>
      <c r="F29" s="178">
        <f t="shared" si="16"/>
        <v>47.995959484687496</v>
      </c>
      <c r="G29" s="178">
        <f t="shared" si="16"/>
        <v>47.732068087563221</v>
      </c>
      <c r="H29" s="178">
        <f t="shared" si="16"/>
        <v>47.542107118400409</v>
      </c>
      <c r="I29" s="178">
        <f t="shared" si="16"/>
        <v>47.424980600929956</v>
      </c>
      <c r="J29" s="178">
        <f t="shared" si="16"/>
        <v>47.379608813144678</v>
      </c>
      <c r="K29" s="178">
        <f t="shared" si="16"/>
        <v>47.404928080191311</v>
      </c>
      <c r="L29" s="178">
        <f t="shared" si="16"/>
        <v>47.499890569820153</v>
      </c>
      <c r="M29" s="178">
        <f t="shared" si="16"/>
        <v>47.663464090361529</v>
      </c>
      <c r="N29" s="178">
        <f t="shared" si="16"/>
        <v>47.894631891199779</v>
      </c>
      <c r="O29" s="178">
        <f t="shared" si="16"/>
        <v>48.126920855872093</v>
      </c>
      <c r="P29" s="178">
        <f t="shared" si="16"/>
        <v>48.360336422023074</v>
      </c>
      <c r="Q29" s="178">
        <f t="shared" si="16"/>
        <v>48.594884053669873</v>
      </c>
      <c r="R29" s="178">
        <f t="shared" si="16"/>
        <v>48.830569241330167</v>
      </c>
      <c r="S29" s="178">
        <f t="shared" si="16"/>
        <v>49.067397502150619</v>
      </c>
      <c r="T29" s="178">
        <f t="shared" si="16"/>
        <v>49.305374380036042</v>
      </c>
      <c r="U29" s="178">
        <f t="shared" si="16"/>
        <v>49.544505445779222</v>
      </c>
      <c r="V29" s="178">
        <f t="shared" si="16"/>
        <v>49.784796297191249</v>
      </c>
      <c r="W29" s="178">
        <f t="shared" si="16"/>
        <v>50.026252559232617</v>
      </c>
      <c r="X29" s="178">
        <f t="shared" si="16"/>
        <v>50.268879884144901</v>
      </c>
    </row>
    <row r="30" spans="1:25" x14ac:dyDescent="0.3">
      <c r="A30" s="101" t="s">
        <v>13</v>
      </c>
      <c r="D30" s="178">
        <f>D15*$Y15/1000</f>
        <v>24.5</v>
      </c>
      <c r="E30" s="178">
        <f t="shared" ref="E30:X30" si="17">E15*$Y15/1000*AB5</f>
        <v>24.291382500000001</v>
      </c>
      <c r="F30" s="178">
        <f t="shared" si="17"/>
        <v>24.121046305124999</v>
      </c>
      <c r="G30" s="178">
        <f t="shared" si="17"/>
        <v>23.988423961954851</v>
      </c>
      <c r="H30" s="178">
        <f t="shared" si="17"/>
        <v>23.892956397965332</v>
      </c>
      <c r="I30" s="178">
        <f t="shared" si="17"/>
        <v>23.834092814826331</v>
      </c>
      <c r="J30" s="178">
        <f t="shared" si="17"/>
        <v>23.811290583016291</v>
      </c>
      <c r="K30" s="178">
        <f t="shared" si="17"/>
        <v>23.824015137737177</v>
      </c>
      <c r="L30" s="178">
        <f t="shared" si="17"/>
        <v>23.871739876114745</v>
      </c>
      <c r="M30" s="178">
        <f t="shared" si="17"/>
        <v>23.953946055668876</v>
      </c>
      <c r="N30" s="178">
        <f t="shared" si="17"/>
        <v>24.070122694038865</v>
      </c>
      <c r="O30" s="178">
        <f t="shared" si="17"/>
        <v>24.186862789104946</v>
      </c>
      <c r="P30" s="178">
        <f t="shared" si="17"/>
        <v>24.304169073632107</v>
      </c>
      <c r="Q30" s="178">
        <f t="shared" si="17"/>
        <v>24.422044293639221</v>
      </c>
      <c r="R30" s="178">
        <f t="shared" si="17"/>
        <v>24.540491208463365</v>
      </c>
      <c r="S30" s="178">
        <f t="shared" si="17"/>
        <v>24.659512590824409</v>
      </c>
      <c r="T30" s="178">
        <f t="shared" si="17"/>
        <v>24.779111226889903</v>
      </c>
      <c r="U30" s="178">
        <f t="shared" si="17"/>
        <v>24.899289916340319</v>
      </c>
      <c r="V30" s="178">
        <f t="shared" si="17"/>
        <v>25.02005147243457</v>
      </c>
      <c r="W30" s="178">
        <f t="shared" si="17"/>
        <v>25.141398722075877</v>
      </c>
      <c r="X30" s="178">
        <f t="shared" si="17"/>
        <v>25.263334505877943</v>
      </c>
    </row>
    <row r="31" spans="1:25" x14ac:dyDescent="0.3">
      <c r="D31" s="183">
        <f>SUM(D26:D30)</f>
        <v>719.25</v>
      </c>
      <c r="E31" s="183">
        <f t="shared" ref="E31:N31" si="18">SUM(E26:E30)</f>
        <v>713.12558625000008</v>
      </c>
      <c r="F31" s="183">
        <f t="shared" si="18"/>
        <v>708.12500224331257</v>
      </c>
      <c r="G31" s="183">
        <f t="shared" si="18"/>
        <v>704.23158916881744</v>
      </c>
      <c r="H31" s="183">
        <f t="shared" si="18"/>
        <v>701.42893425455372</v>
      </c>
      <c r="I31" s="183">
        <f t="shared" si="18"/>
        <v>699.70086763525887</v>
      </c>
      <c r="J31" s="183">
        <f t="shared" si="18"/>
        <v>699.03145925854983</v>
      </c>
      <c r="K31" s="183">
        <f t="shared" si="18"/>
        <v>699.40501582928437</v>
      </c>
      <c r="L31" s="183">
        <f t="shared" si="18"/>
        <v>700.80607779165439</v>
      </c>
      <c r="M31" s="183">
        <f t="shared" si="18"/>
        <v>703.21941634856489</v>
      </c>
      <c r="N31" s="183">
        <f t="shared" si="18"/>
        <v>706.6300305178554</v>
      </c>
      <c r="O31" s="183">
        <f>SUM(O26:O30)</f>
        <v>710.05718616586671</v>
      </c>
      <c r="P31" s="183">
        <f t="shared" ref="P31:W31" si="19">SUM(P26:P30)</f>
        <v>713.5009635187713</v>
      </c>
      <c r="Q31" s="183">
        <f t="shared" si="19"/>
        <v>716.96144319183702</v>
      </c>
      <c r="R31" s="183">
        <f t="shared" si="19"/>
        <v>720.43870619131746</v>
      </c>
      <c r="S31" s="183">
        <f t="shared" si="19"/>
        <v>723.93283391634532</v>
      </c>
      <c r="T31" s="183">
        <f t="shared" si="19"/>
        <v>727.44390816083944</v>
      </c>
      <c r="U31" s="183">
        <f t="shared" si="19"/>
        <v>730.9720111154196</v>
      </c>
      <c r="V31" s="183">
        <f t="shared" si="19"/>
        <v>734.51722536932937</v>
      </c>
      <c r="W31" s="183">
        <f t="shared" si="19"/>
        <v>738.07963391237047</v>
      </c>
      <c r="X31" s="183">
        <f>SUM(X26:X30)</f>
        <v>741.65932013684539</v>
      </c>
    </row>
    <row r="32" spans="1:25" x14ac:dyDescent="0.3"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</row>
    <row r="33" spans="1:24" ht="17.5" x14ac:dyDescent="0.35">
      <c r="A33" s="100" t="s">
        <v>212</v>
      </c>
      <c r="B33" s="184"/>
      <c r="C33" s="184"/>
      <c r="D33" s="298">
        <f>D25+D31</f>
        <v>1177.8980000000001</v>
      </c>
      <c r="E33" s="298">
        <f t="shared" ref="E33:M33" si="20">E25+E31</f>
        <v>1170.31649625</v>
      </c>
      <c r="F33" s="298">
        <f>F25+F31</f>
        <v>1169.0052660433125</v>
      </c>
      <c r="G33" s="298">
        <f>G25+G31</f>
        <v>1172.3288022650775</v>
      </c>
      <c r="H33" s="298">
        <f t="shared" si="20"/>
        <v>1179.7750707930936</v>
      </c>
      <c r="I33" s="298">
        <f t="shared" si="20"/>
        <v>1191.5514225843172</v>
      </c>
      <c r="J33" s="298">
        <f t="shared" si="20"/>
        <v>1206.9933521882958</v>
      </c>
      <c r="K33" s="298">
        <f t="shared" si="20"/>
        <v>1226.7345747488785</v>
      </c>
      <c r="L33" s="298">
        <f t="shared" si="20"/>
        <v>1249.4797327577376</v>
      </c>
      <c r="M33" s="298">
        <f t="shared" si="20"/>
        <v>1275.7506549402838</v>
      </c>
      <c r="N33" s="298">
        <f>N25+N31</f>
        <v>1306.716615754955</v>
      </c>
      <c r="O33" s="298">
        <f>O25+O31</f>
        <v>1323.5807948603588</v>
      </c>
      <c r="P33" s="298">
        <f t="shared" ref="P33:W33" si="21">P25+P31</f>
        <v>1327.7524562452929</v>
      </c>
      <c r="Q33" s="298">
        <f t="shared" si="21"/>
        <v>1321.2510082959689</v>
      </c>
      <c r="R33" s="298">
        <f t="shared" si="21"/>
        <v>1305.110595963795</v>
      </c>
      <c r="S33" s="298">
        <f t="shared" si="21"/>
        <v>1279.7206005067424</v>
      </c>
      <c r="T33" s="298">
        <f t="shared" si="21"/>
        <v>1245.2216303778341</v>
      </c>
      <c r="U33" s="298">
        <f>U25+U31</f>
        <v>1201.5214397613811</v>
      </c>
      <c r="V33" s="298">
        <f t="shared" si="21"/>
        <v>1164.7353273069036</v>
      </c>
      <c r="W33" s="298">
        <f t="shared" si="21"/>
        <v>1133.7322441621973</v>
      </c>
      <c r="X33" s="298">
        <f>X25+X31</f>
        <v>1107.5707214784902</v>
      </c>
    </row>
    <row r="34" spans="1:24" x14ac:dyDescent="0.3">
      <c r="A34" s="105"/>
      <c r="B34" s="184"/>
      <c r="C34" s="184"/>
    </row>
    <row r="35" spans="1:24" x14ac:dyDescent="0.3">
      <c r="D35" s="105">
        <v>2010</v>
      </c>
      <c r="E35" s="105">
        <v>2011</v>
      </c>
      <c r="F35" s="105">
        <v>2012</v>
      </c>
      <c r="G35" s="105">
        <v>2013</v>
      </c>
      <c r="H35" s="105">
        <v>2014</v>
      </c>
      <c r="I35" s="105">
        <v>2015</v>
      </c>
      <c r="J35" s="105">
        <v>2016</v>
      </c>
      <c r="K35" s="105">
        <v>2017</v>
      </c>
      <c r="L35" s="105">
        <v>2018</v>
      </c>
      <c r="M35" s="105">
        <v>2019</v>
      </c>
      <c r="N35" s="105">
        <v>2020</v>
      </c>
      <c r="O35" s="105">
        <v>2021</v>
      </c>
      <c r="P35" s="105">
        <v>2022</v>
      </c>
      <c r="Q35" s="105">
        <v>2023</v>
      </c>
      <c r="R35" s="105">
        <v>2024</v>
      </c>
      <c r="S35" s="105">
        <v>2025</v>
      </c>
      <c r="T35" s="105">
        <v>2026</v>
      </c>
      <c r="U35" s="105">
        <v>2027</v>
      </c>
      <c r="V35" s="105">
        <v>2028</v>
      </c>
      <c r="W35" s="105">
        <v>2029</v>
      </c>
      <c r="X35" s="105">
        <v>2030</v>
      </c>
    </row>
    <row r="36" spans="1:24" x14ac:dyDescent="0.3">
      <c r="F36" s="103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</row>
    <row r="37" spans="1:24" x14ac:dyDescent="0.3">
      <c r="F37" s="103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</row>
    <row r="38" spans="1:24" x14ac:dyDescent="0.3">
      <c r="A38" s="101" t="s">
        <v>296</v>
      </c>
      <c r="B38" s="105"/>
      <c r="C38" s="105"/>
      <c r="D38" s="302">
        <f>D31/D33</f>
        <v>0.61062163277295645</v>
      </c>
      <c r="E38" s="302">
        <f t="shared" ref="E38:X38" si="22">E31/E33</f>
        <v>0.60934421460779276</v>
      </c>
      <c r="F38" s="302">
        <f t="shared" si="22"/>
        <v>0.60575005332531662</v>
      </c>
      <c r="G38" s="302">
        <f t="shared" si="22"/>
        <v>0.60071166707510637</v>
      </c>
      <c r="H38" s="302">
        <f t="shared" si="22"/>
        <v>0.59454463110754163</v>
      </c>
      <c r="I38" s="302">
        <f t="shared" si="22"/>
        <v>0.58721835614756801</v>
      </c>
      <c r="J38" s="302">
        <f t="shared" si="22"/>
        <v>0.57915104336837975</v>
      </c>
      <c r="K38" s="302">
        <f t="shared" si="22"/>
        <v>0.57013556985011016</v>
      </c>
      <c r="L38" s="302">
        <f t="shared" si="22"/>
        <v>0.56087830752156276</v>
      </c>
      <c r="M38" s="302">
        <f t="shared" si="22"/>
        <v>0.55122010999985083</v>
      </c>
      <c r="N38" s="302">
        <f t="shared" si="22"/>
        <v>0.54076761709316767</v>
      </c>
      <c r="O38" s="302">
        <f t="shared" si="22"/>
        <v>0.5364668246344414</v>
      </c>
      <c r="P38" s="302">
        <f t="shared" si="22"/>
        <v>0.53737499046807036</v>
      </c>
      <c r="Q38" s="302">
        <f t="shared" si="22"/>
        <v>0.54263833192188793</v>
      </c>
      <c r="R38" s="302">
        <f t="shared" si="22"/>
        <v>0.55201352928966874</v>
      </c>
      <c r="S38" s="302">
        <f t="shared" si="22"/>
        <v>0.56569600710474077</v>
      </c>
      <c r="T38" s="302">
        <f t="shared" si="22"/>
        <v>0.58418830063216387</v>
      </c>
      <c r="U38" s="302">
        <f t="shared" si="22"/>
        <v>0.60837200812711978</v>
      </c>
      <c r="V38" s="302">
        <f t="shared" si="22"/>
        <v>0.63063015961547009</v>
      </c>
      <c r="W38" s="302">
        <f t="shared" si="22"/>
        <v>0.6510175905403438</v>
      </c>
      <c r="X38" s="302">
        <f t="shared" si="22"/>
        <v>0.6696270547372436</v>
      </c>
    </row>
    <row r="39" spans="1:24" x14ac:dyDescent="0.3">
      <c r="A39" s="100"/>
      <c r="D39" s="102"/>
      <c r="E39" s="106"/>
      <c r="F39" s="106"/>
      <c r="G39" s="106"/>
      <c r="H39" s="106"/>
      <c r="I39" s="107"/>
      <c r="J39" s="106"/>
      <c r="K39" s="106"/>
      <c r="L39" s="106"/>
      <c r="M39" s="106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4" x14ac:dyDescent="0.3">
      <c r="A40" s="100"/>
      <c r="D40" s="102"/>
      <c r="E40" s="106"/>
      <c r="F40" s="106"/>
      <c r="G40" s="106"/>
      <c r="H40" s="106"/>
      <c r="I40" s="107"/>
      <c r="J40" s="106"/>
      <c r="K40" s="106"/>
      <c r="L40" s="106"/>
      <c r="M40" s="106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1:24" x14ac:dyDescent="0.3">
      <c r="A41" s="100"/>
      <c r="D41" s="102"/>
      <c r="E41" s="106"/>
      <c r="F41" s="106"/>
      <c r="G41" s="106"/>
      <c r="H41" s="106"/>
      <c r="I41" s="107"/>
      <c r="J41" s="106"/>
      <c r="K41" s="106"/>
      <c r="L41" s="106"/>
      <c r="M41" s="106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</sheetData>
  <pageMargins left="0.75" right="0.75" top="1" bottom="1" header="0.5" footer="0.5"/>
  <pageSetup orientation="portrait" horizontalDpi="200" verticalDpi="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88"/>
  <sheetViews>
    <sheetView topLeftCell="A47" zoomScale="30" zoomScaleNormal="30" workbookViewId="0">
      <selection activeCell="W49" sqref="W49"/>
    </sheetView>
  </sheetViews>
  <sheetFormatPr defaultColWidth="11" defaultRowHeight="13.5" x14ac:dyDescent="0.3"/>
  <cols>
    <col min="1" max="1" width="24" bestFit="1" customWidth="1"/>
    <col min="2" max="2" width="11.765625" bestFit="1" customWidth="1"/>
    <col min="3" max="3" width="14" customWidth="1"/>
    <col min="4" max="4" width="15.23046875" bestFit="1" customWidth="1"/>
    <col min="5" max="5" width="7.765625" bestFit="1" customWidth="1"/>
    <col min="6" max="6" width="15.23046875" bestFit="1" customWidth="1"/>
    <col min="7" max="7" width="16.3828125" customWidth="1"/>
    <col min="8" max="8" width="7.4609375" bestFit="1" customWidth="1"/>
    <col min="9" max="9" width="13.4609375" bestFit="1" customWidth="1"/>
    <col min="10" max="10" width="7.4609375" bestFit="1" customWidth="1"/>
    <col min="11" max="12" width="13.4609375" bestFit="1" customWidth="1"/>
    <col min="13" max="13" width="7.4609375" bestFit="1" customWidth="1"/>
    <col min="14" max="15" width="13.4609375" bestFit="1" customWidth="1"/>
    <col min="16" max="16" width="12.61328125" bestFit="1" customWidth="1"/>
    <col min="17" max="18" width="13.4609375" bestFit="1" customWidth="1"/>
    <col min="19" max="19" width="12.61328125" bestFit="1" customWidth="1"/>
    <col min="20" max="21" width="13.4609375" bestFit="1" customWidth="1"/>
    <col min="22" max="23" width="13.3828125" bestFit="1" customWidth="1"/>
    <col min="24" max="24" width="9.3828125" bestFit="1" customWidth="1"/>
    <col min="25" max="25" width="5.84375" bestFit="1" customWidth="1"/>
    <col min="26" max="26" width="4.61328125" bestFit="1" customWidth="1"/>
    <col min="27" max="27" width="13.23046875" bestFit="1" customWidth="1"/>
    <col min="28" max="28" width="9" bestFit="1" customWidth="1"/>
    <col min="29" max="30" width="9" customWidth="1"/>
  </cols>
  <sheetData>
    <row r="1" spans="1:49" x14ac:dyDescent="0.3">
      <c r="B1" s="15" t="s">
        <v>161</v>
      </c>
    </row>
    <row r="2" spans="1:49" s="7" customFormat="1" ht="40.5" x14ac:dyDescent="0.3"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47">
        <v>2015</v>
      </c>
      <c r="H2" s="47">
        <v>2016</v>
      </c>
      <c r="I2" s="47">
        <v>2017</v>
      </c>
      <c r="J2" s="47">
        <v>2018</v>
      </c>
      <c r="K2" s="47">
        <v>2019</v>
      </c>
      <c r="L2" s="47">
        <v>2020</v>
      </c>
      <c r="M2" s="48">
        <v>2021</v>
      </c>
      <c r="N2" s="48">
        <v>2022</v>
      </c>
      <c r="O2" s="48">
        <v>2023</v>
      </c>
      <c r="P2" s="48">
        <v>2024</v>
      </c>
      <c r="Q2" s="48">
        <v>2025</v>
      </c>
      <c r="R2" s="48">
        <v>2026</v>
      </c>
      <c r="S2" s="48">
        <v>2027</v>
      </c>
      <c r="T2" s="48">
        <v>2028</v>
      </c>
      <c r="U2" s="48">
        <v>2029</v>
      </c>
      <c r="V2" s="48">
        <v>2030</v>
      </c>
      <c r="W2" s="63" t="s">
        <v>57</v>
      </c>
      <c r="X2" s="63" t="s">
        <v>63</v>
      </c>
      <c r="Y2" s="63" t="s">
        <v>58</v>
      </c>
      <c r="AB2" s="8" t="s">
        <v>11</v>
      </c>
      <c r="AC2" s="8"/>
      <c r="AD2" s="8">
        <v>2011</v>
      </c>
      <c r="AE2" s="7">
        <v>2012</v>
      </c>
      <c r="AF2" s="7">
        <v>2013</v>
      </c>
      <c r="AG2" s="7">
        <v>2014</v>
      </c>
      <c r="AH2" s="7">
        <v>2015</v>
      </c>
      <c r="AI2" s="7">
        <v>2016</v>
      </c>
      <c r="AJ2" s="7">
        <v>2017</v>
      </c>
      <c r="AK2" s="7">
        <v>2018</v>
      </c>
      <c r="AL2" s="7">
        <v>2019</v>
      </c>
      <c r="AM2" s="7">
        <v>2020</v>
      </c>
      <c r="AN2" s="7">
        <v>2021</v>
      </c>
      <c r="AO2" s="7">
        <v>2022</v>
      </c>
      <c r="AP2" s="7">
        <v>2023</v>
      </c>
      <c r="AQ2" s="7">
        <v>2024</v>
      </c>
      <c r="AR2" s="7">
        <v>2025</v>
      </c>
      <c r="AS2" s="7">
        <v>2026</v>
      </c>
      <c r="AT2" s="7">
        <v>2027</v>
      </c>
      <c r="AU2" s="7">
        <v>2028</v>
      </c>
      <c r="AV2" s="7">
        <v>2029</v>
      </c>
      <c r="AW2" s="7">
        <v>2030</v>
      </c>
    </row>
    <row r="3" spans="1:49" ht="14" x14ac:dyDescent="0.3">
      <c r="A3" t="s">
        <v>1</v>
      </c>
      <c r="B3" s="18">
        <v>146</v>
      </c>
      <c r="C3" s="18">
        <v>148</v>
      </c>
      <c r="D3" s="18">
        <v>151</v>
      </c>
      <c r="E3" s="18">
        <f>D3*0.98</f>
        <v>147.97999999999999</v>
      </c>
      <c r="F3" s="18">
        <f t="shared" ref="F3:L3" si="0">E3*0.98</f>
        <v>145.0204</v>
      </c>
      <c r="G3" s="18">
        <f t="shared" si="0"/>
        <v>142.119992</v>
      </c>
      <c r="H3" s="18">
        <f t="shared" si="0"/>
        <v>139.27759215999998</v>
      </c>
      <c r="I3" s="18">
        <f t="shared" si="0"/>
        <v>136.49204031679997</v>
      </c>
      <c r="J3" s="18">
        <f t="shared" si="0"/>
        <v>133.76219951046397</v>
      </c>
      <c r="K3" s="18">
        <f t="shared" si="0"/>
        <v>131.08695552025469</v>
      </c>
      <c r="L3" s="18">
        <f t="shared" si="0"/>
        <v>128.4652164098496</v>
      </c>
      <c r="M3" s="18">
        <f>L$3/K$3*L$3</f>
        <v>125.89591208165263</v>
      </c>
      <c r="N3" s="18">
        <f>M$3/L$3*M$3</f>
        <v>123.37799384001958</v>
      </c>
      <c r="O3" s="18">
        <f t="shared" ref="O3:U3" si="1">N$3/M$3*N$3</f>
        <v>120.91043396321921</v>
      </c>
      <c r="P3" s="18">
        <f t="shared" si="1"/>
        <v>118.49222528395484</v>
      </c>
      <c r="Q3" s="18">
        <f t="shared" si="1"/>
        <v>116.12238077827575</v>
      </c>
      <c r="R3" s="18">
        <f t="shared" si="1"/>
        <v>113.79993316271025</v>
      </c>
      <c r="S3" s="18">
        <f t="shared" si="1"/>
        <v>111.52393449945605</v>
      </c>
      <c r="T3" s="18">
        <f t="shared" si="1"/>
        <v>109.29345580946693</v>
      </c>
      <c r="U3" s="18">
        <f t="shared" si="1"/>
        <v>107.10758669327761</v>
      </c>
      <c r="V3" s="18">
        <f>U$3/T$3*U$3</f>
        <v>104.96543495941206</v>
      </c>
      <c r="W3" s="18">
        <v>60</v>
      </c>
      <c r="X3" s="18">
        <v>215</v>
      </c>
      <c r="Y3" s="18">
        <v>215</v>
      </c>
      <c r="AB3">
        <v>1</v>
      </c>
      <c r="AC3" s="36" t="s">
        <v>57</v>
      </c>
      <c r="AD3" s="36">
        <v>0.95</v>
      </c>
      <c r="AE3" s="35">
        <f>AD3*0.95</f>
        <v>0.90249999999999997</v>
      </c>
      <c r="AF3" s="22">
        <f>AE3*0.95</f>
        <v>0.85737499999999989</v>
      </c>
      <c r="AG3" s="22">
        <f t="shared" ref="AG3:AW3" si="2">AF3*0.95</f>
        <v>0.81450624999999988</v>
      </c>
      <c r="AH3" s="22">
        <f t="shared" si="2"/>
        <v>0.77378093749999988</v>
      </c>
      <c r="AI3" s="22">
        <f t="shared" si="2"/>
        <v>0.7350918906249998</v>
      </c>
      <c r="AJ3" s="22">
        <f t="shared" si="2"/>
        <v>0.69833729609374973</v>
      </c>
      <c r="AK3" s="22">
        <f t="shared" si="2"/>
        <v>0.66342043128906225</v>
      </c>
      <c r="AL3" s="22">
        <f t="shared" si="2"/>
        <v>0.63024940972460908</v>
      </c>
      <c r="AM3" s="22">
        <f t="shared" si="2"/>
        <v>0.59873693923837856</v>
      </c>
      <c r="AN3" s="22">
        <f t="shared" si="2"/>
        <v>0.56880009227645956</v>
      </c>
      <c r="AO3" s="22">
        <f t="shared" si="2"/>
        <v>0.54036008766263655</v>
      </c>
      <c r="AP3" s="22">
        <f t="shared" si="2"/>
        <v>0.5133420832795047</v>
      </c>
      <c r="AQ3" s="22">
        <f t="shared" si="2"/>
        <v>0.48767497911552943</v>
      </c>
      <c r="AR3" s="22">
        <f t="shared" si="2"/>
        <v>0.46329123015975293</v>
      </c>
      <c r="AS3" s="22">
        <f t="shared" si="2"/>
        <v>0.44012666865176525</v>
      </c>
      <c r="AT3" s="22">
        <f t="shared" si="2"/>
        <v>0.41812033521917696</v>
      </c>
      <c r="AU3" s="22">
        <f t="shared" si="2"/>
        <v>0.39721431845821809</v>
      </c>
      <c r="AV3" s="22">
        <f t="shared" si="2"/>
        <v>0.37735360253530714</v>
      </c>
      <c r="AW3" s="22">
        <f t="shared" si="2"/>
        <v>0.35848592240854177</v>
      </c>
    </row>
    <row r="4" spans="1:49" ht="14" x14ac:dyDescent="0.3">
      <c r="A4" t="s">
        <v>2</v>
      </c>
      <c r="B4" s="18">
        <v>162</v>
      </c>
      <c r="C4" s="18">
        <v>165</v>
      </c>
      <c r="D4" s="18">
        <v>169</v>
      </c>
      <c r="E4" s="18">
        <f>D4*0.98</f>
        <v>165.62</v>
      </c>
      <c r="F4" s="18">
        <f t="shared" ref="F4:L4" si="3">E4*0.98</f>
        <v>162.30760000000001</v>
      </c>
      <c r="G4" s="18">
        <f t="shared" si="3"/>
        <v>159.06144800000001</v>
      </c>
      <c r="H4" s="18">
        <f t="shared" si="3"/>
        <v>155.88021904000001</v>
      </c>
      <c r="I4" s="18">
        <f t="shared" si="3"/>
        <v>152.76261465920001</v>
      </c>
      <c r="J4" s="18">
        <f t="shared" si="3"/>
        <v>149.70736236601601</v>
      </c>
      <c r="K4" s="18">
        <f t="shared" si="3"/>
        <v>146.7132151186957</v>
      </c>
      <c r="L4" s="18">
        <f t="shared" si="3"/>
        <v>143.77895081632178</v>
      </c>
      <c r="M4" s="18">
        <f t="shared" ref="M4:V4" si="4">L$4/K$4*L$4</f>
        <v>140.90337179999534</v>
      </c>
      <c r="N4" s="18">
        <f t="shared" si="4"/>
        <v>138.08530436399542</v>
      </c>
      <c r="O4" s="18">
        <f t="shared" si="4"/>
        <v>135.3235982767155</v>
      </c>
      <c r="P4" s="18">
        <f t="shared" si="4"/>
        <v>132.61712631118118</v>
      </c>
      <c r="Q4" s="18">
        <f t="shared" si="4"/>
        <v>129.96478378495755</v>
      </c>
      <c r="R4" s="18">
        <f t="shared" si="4"/>
        <v>127.36548810925838</v>
      </c>
      <c r="S4" s="18">
        <f t="shared" si="4"/>
        <v>124.8181783470732</v>
      </c>
      <c r="T4" s="18">
        <f t="shared" si="4"/>
        <v>122.32181478013172</v>
      </c>
      <c r="U4" s="18">
        <f t="shared" si="4"/>
        <v>119.87537848452907</v>
      </c>
      <c r="V4" s="18">
        <f t="shared" si="4"/>
        <v>117.47787091483846</v>
      </c>
      <c r="W4" s="18">
        <v>187</v>
      </c>
      <c r="X4" s="18">
        <v>268</v>
      </c>
      <c r="Y4" s="18">
        <v>334</v>
      </c>
      <c r="AB4">
        <v>1</v>
      </c>
      <c r="AC4" s="36" t="s">
        <v>16</v>
      </c>
      <c r="AD4" s="36">
        <v>0.97</v>
      </c>
      <c r="AE4" s="35">
        <f>AD4*0.97</f>
        <v>0.94089999999999996</v>
      </c>
      <c r="AF4" s="22">
        <f>AE4*0.97</f>
        <v>0.91267299999999996</v>
      </c>
      <c r="AG4" s="22">
        <f t="shared" ref="AG4:AW4" si="5">AF4*0.97</f>
        <v>0.88529280999999993</v>
      </c>
      <c r="AH4" s="22">
        <f t="shared" si="5"/>
        <v>0.8587340256999999</v>
      </c>
      <c r="AI4" s="22">
        <f t="shared" si="5"/>
        <v>0.83297200492899992</v>
      </c>
      <c r="AJ4" s="22">
        <f t="shared" si="5"/>
        <v>0.80798284478112992</v>
      </c>
      <c r="AK4" s="22">
        <f t="shared" si="5"/>
        <v>0.78374335943769602</v>
      </c>
      <c r="AL4" s="22">
        <f t="shared" si="5"/>
        <v>0.76023105865456508</v>
      </c>
      <c r="AM4" s="22">
        <f t="shared" si="5"/>
        <v>0.73742412689492809</v>
      </c>
      <c r="AN4" s="22">
        <f t="shared" si="5"/>
        <v>0.71530140308808021</v>
      </c>
      <c r="AO4" s="22">
        <f t="shared" si="5"/>
        <v>0.69384236099543783</v>
      </c>
      <c r="AP4" s="22">
        <f t="shared" si="5"/>
        <v>0.67302709016557472</v>
      </c>
      <c r="AQ4" s="22">
        <f t="shared" si="5"/>
        <v>0.65283627746060746</v>
      </c>
      <c r="AR4" s="22">
        <f t="shared" si="5"/>
        <v>0.63325118913678924</v>
      </c>
      <c r="AS4" s="22">
        <f t="shared" si="5"/>
        <v>0.61425365346268557</v>
      </c>
      <c r="AT4" s="22">
        <f t="shared" si="5"/>
        <v>0.595826043858805</v>
      </c>
      <c r="AU4" s="22">
        <f t="shared" si="5"/>
        <v>0.57795126254304086</v>
      </c>
      <c r="AV4" s="22">
        <f t="shared" si="5"/>
        <v>0.56061272466674961</v>
      </c>
      <c r="AW4" s="22">
        <f t="shared" si="5"/>
        <v>0.54379434292674711</v>
      </c>
    </row>
    <row r="5" spans="1:49" ht="14" x14ac:dyDescent="0.3">
      <c r="A5" t="s">
        <v>3</v>
      </c>
      <c r="B5" s="18">
        <v>201</v>
      </c>
      <c r="C5" s="18">
        <v>215</v>
      </c>
      <c r="D5" s="18">
        <v>246</v>
      </c>
      <c r="E5" s="18">
        <v>284</v>
      </c>
      <c r="F5" s="18">
        <v>332</v>
      </c>
      <c r="G5" s="18">
        <v>384</v>
      </c>
      <c r="H5" s="18">
        <v>443</v>
      </c>
      <c r="I5" s="18">
        <v>511.06510416666663</v>
      </c>
      <c r="J5" s="18">
        <v>589.58812798394092</v>
      </c>
      <c r="K5" s="18">
        <v>680.17588723147344</v>
      </c>
      <c r="L5" s="18">
        <v>784.68207823839248</v>
      </c>
      <c r="M5" s="18">
        <f>L5*0.84</f>
        <v>659.13294572024961</v>
      </c>
      <c r="N5" s="18">
        <f t="shared" ref="N5:V5" si="6">M$5/L$5*M$5</f>
        <v>553.67167440500953</v>
      </c>
      <c r="O5" s="18">
        <f t="shared" si="6"/>
        <v>465.08420650020787</v>
      </c>
      <c r="P5" s="18">
        <f t="shared" si="6"/>
        <v>390.67073346017452</v>
      </c>
      <c r="Q5" s="18">
        <f t="shared" si="6"/>
        <v>328.16341610654649</v>
      </c>
      <c r="R5" s="18">
        <f t="shared" si="6"/>
        <v>275.65726952949899</v>
      </c>
      <c r="S5" s="18">
        <f t="shared" si="6"/>
        <v>231.55210640477912</v>
      </c>
      <c r="T5" s="18">
        <f t="shared" si="6"/>
        <v>194.50376938001443</v>
      </c>
      <c r="U5" s="18">
        <f t="shared" si="6"/>
        <v>163.38316627921211</v>
      </c>
      <c r="V5" s="18">
        <f t="shared" si="6"/>
        <v>137.24185967453815</v>
      </c>
      <c r="W5" s="18">
        <v>75</v>
      </c>
      <c r="X5" s="18">
        <v>167</v>
      </c>
      <c r="Y5" s="18">
        <v>167</v>
      </c>
      <c r="AB5">
        <v>1</v>
      </c>
      <c r="AC5" s="36" t="s">
        <v>58</v>
      </c>
      <c r="AD5" s="36">
        <v>0.99</v>
      </c>
      <c r="AE5" s="35">
        <f>AD5*0.99</f>
        <v>0.98009999999999997</v>
      </c>
      <c r="AF5" s="22">
        <f>AE5*0.99</f>
        <v>0.97029899999999991</v>
      </c>
      <c r="AG5" s="22">
        <f t="shared" ref="AG5:AW5" si="7">AF5*0.99</f>
        <v>0.96059600999999994</v>
      </c>
      <c r="AH5" s="22">
        <f t="shared" si="7"/>
        <v>0.95099004989999991</v>
      </c>
      <c r="AI5" s="22">
        <f t="shared" si="7"/>
        <v>0.94148014940099989</v>
      </c>
      <c r="AJ5" s="22">
        <f t="shared" si="7"/>
        <v>0.93206534790698992</v>
      </c>
      <c r="AK5" s="22">
        <f t="shared" si="7"/>
        <v>0.92274469442791995</v>
      </c>
      <c r="AL5" s="22">
        <f t="shared" si="7"/>
        <v>0.91351724748364072</v>
      </c>
      <c r="AM5" s="22">
        <f t="shared" si="7"/>
        <v>0.9043820750088043</v>
      </c>
      <c r="AN5" s="22">
        <f t="shared" si="7"/>
        <v>0.89533825425871627</v>
      </c>
      <c r="AO5" s="22">
        <f t="shared" si="7"/>
        <v>0.88638487171612912</v>
      </c>
      <c r="AP5" s="22">
        <f t="shared" si="7"/>
        <v>0.87752102299896784</v>
      </c>
      <c r="AQ5" s="22">
        <f t="shared" si="7"/>
        <v>0.86874581276897811</v>
      </c>
      <c r="AR5" s="22">
        <f t="shared" si="7"/>
        <v>0.86005835464128833</v>
      </c>
      <c r="AS5" s="22">
        <f t="shared" si="7"/>
        <v>0.85145777109487542</v>
      </c>
      <c r="AT5" s="22">
        <f t="shared" si="7"/>
        <v>0.84294319338392665</v>
      </c>
      <c r="AU5" s="22">
        <f t="shared" si="7"/>
        <v>0.83451376145008738</v>
      </c>
      <c r="AV5" s="22">
        <f t="shared" si="7"/>
        <v>0.82616862383558654</v>
      </c>
      <c r="AW5" s="22">
        <f t="shared" si="7"/>
        <v>0.81790693759723065</v>
      </c>
    </row>
    <row r="6" spans="1:49" x14ac:dyDescent="0.3">
      <c r="A6" t="s">
        <v>4</v>
      </c>
      <c r="B6" s="18">
        <v>350</v>
      </c>
      <c r="C6" s="18">
        <v>460</v>
      </c>
      <c r="D6" s="18">
        <v>700</v>
      </c>
      <c r="E6" s="18">
        <v>900</v>
      </c>
      <c r="F6" s="18">
        <v>1175</v>
      </c>
      <c r="G6" s="18">
        <v>1390</v>
      </c>
      <c r="H6" s="18">
        <f>G6*1.05</f>
        <v>1459.5</v>
      </c>
      <c r="I6" s="18">
        <f>H6*1.05</f>
        <v>1532.4750000000001</v>
      </c>
      <c r="J6" s="18">
        <f>I6*1.05</f>
        <v>1609.0987500000001</v>
      </c>
      <c r="K6" s="18">
        <f>J6*1.05</f>
        <v>1689.5536875000003</v>
      </c>
      <c r="L6" s="18">
        <f>K6*1.05</f>
        <v>1774.0313718750003</v>
      </c>
      <c r="M6" s="18">
        <v>1774</v>
      </c>
      <c r="N6" s="18">
        <v>1774</v>
      </c>
      <c r="O6" s="18">
        <v>1774</v>
      </c>
      <c r="P6" s="18">
        <v>1774</v>
      </c>
      <c r="Q6" s="18">
        <v>1774</v>
      </c>
      <c r="R6" s="18">
        <v>1774</v>
      </c>
      <c r="S6" s="18">
        <v>1774</v>
      </c>
      <c r="T6" s="18">
        <v>1774</v>
      </c>
      <c r="U6" s="18">
        <v>1774</v>
      </c>
      <c r="V6" s="18">
        <v>1774</v>
      </c>
      <c r="W6" s="18">
        <v>30</v>
      </c>
      <c r="X6" s="18">
        <v>40</v>
      </c>
      <c r="Y6" s="18">
        <v>60</v>
      </c>
    </row>
    <row r="7" spans="1:49" x14ac:dyDescent="0.3">
      <c r="A7" t="s">
        <v>5</v>
      </c>
      <c r="B7" s="18">
        <v>50</v>
      </c>
      <c r="C7" s="18">
        <v>100</v>
      </c>
      <c r="D7" s="18">
        <v>150</v>
      </c>
      <c r="E7" s="18">
        <v>207</v>
      </c>
      <c r="F7" s="18">
        <v>256</v>
      </c>
      <c r="G7" s="18">
        <v>321</v>
      </c>
      <c r="H7" s="18">
        <f>G7*1.15</f>
        <v>369.15</v>
      </c>
      <c r="I7" s="18">
        <f>H7*1.15</f>
        <v>424.52249999999992</v>
      </c>
      <c r="J7" s="18">
        <f>I7*1.15</f>
        <v>488.20087499999988</v>
      </c>
      <c r="K7" s="18">
        <f>J7*1.15</f>
        <v>561.43100624999977</v>
      </c>
      <c r="L7" s="18">
        <v>561</v>
      </c>
      <c r="M7" s="18">
        <v>561</v>
      </c>
      <c r="N7" s="18">
        <v>561</v>
      </c>
      <c r="O7" s="18">
        <v>561</v>
      </c>
      <c r="P7" s="18">
        <v>561</v>
      </c>
      <c r="Q7" s="18">
        <v>561</v>
      </c>
      <c r="R7" s="18">
        <v>561</v>
      </c>
      <c r="S7" s="18">
        <v>561</v>
      </c>
      <c r="T7" s="18">
        <v>561</v>
      </c>
      <c r="U7" s="18">
        <v>561</v>
      </c>
      <c r="V7" s="18">
        <v>561</v>
      </c>
      <c r="W7" s="18">
        <v>78</v>
      </c>
      <c r="X7" s="18">
        <v>75</v>
      </c>
      <c r="Y7" s="18">
        <v>287</v>
      </c>
    </row>
    <row r="8" spans="1:49" x14ac:dyDescent="0.3">
      <c r="A8" s="36" t="s">
        <v>289</v>
      </c>
      <c r="B8" s="18">
        <v>1250</v>
      </c>
      <c r="C8" s="18">
        <v>1260</v>
      </c>
      <c r="D8" s="18">
        <v>1050</v>
      </c>
      <c r="E8" s="18">
        <f>1220-314</f>
        <v>906</v>
      </c>
      <c r="F8" s="18">
        <v>593</v>
      </c>
      <c r="G8" s="18">
        <v>764</v>
      </c>
      <c r="H8" s="18">
        <f t="shared" ref="H8:M8" si="8">G8*0.95</f>
        <v>725.8</v>
      </c>
      <c r="I8" s="18">
        <f t="shared" si="8"/>
        <v>689.50999999999988</v>
      </c>
      <c r="J8" s="18">
        <f t="shared" si="8"/>
        <v>655.03449999999987</v>
      </c>
      <c r="K8" s="18">
        <f t="shared" si="8"/>
        <v>622.28277499999979</v>
      </c>
      <c r="L8" s="18">
        <f t="shared" si="8"/>
        <v>591.16863624999974</v>
      </c>
      <c r="M8" s="18">
        <f t="shared" si="8"/>
        <v>561.61020443749976</v>
      </c>
      <c r="N8" s="18">
        <f t="shared" ref="N8:V8" si="9">M8*0.95</f>
        <v>533.52969421562477</v>
      </c>
      <c r="O8" s="18">
        <f t="shared" si="9"/>
        <v>506.85320950484351</v>
      </c>
      <c r="P8" s="18">
        <f t="shared" si="9"/>
        <v>481.51054902960129</v>
      </c>
      <c r="Q8" s="18">
        <f t="shared" si="9"/>
        <v>457.43502157812122</v>
      </c>
      <c r="R8" s="18">
        <f t="shared" si="9"/>
        <v>434.56327049921515</v>
      </c>
      <c r="S8" s="18">
        <f t="shared" si="9"/>
        <v>412.83510697425436</v>
      </c>
      <c r="T8" s="18">
        <f t="shared" si="9"/>
        <v>392.1933516255416</v>
      </c>
      <c r="U8" s="18">
        <f t="shared" si="9"/>
        <v>372.58368404426449</v>
      </c>
      <c r="V8" s="18">
        <f t="shared" si="9"/>
        <v>353.95449984205123</v>
      </c>
      <c r="W8" s="18">
        <v>10</v>
      </c>
      <c r="X8" s="18">
        <v>12</v>
      </c>
      <c r="Y8" s="18">
        <v>15</v>
      </c>
    </row>
    <row r="9" spans="1:49" x14ac:dyDescent="0.3">
      <c r="A9" s="36" t="s">
        <v>62</v>
      </c>
      <c r="B9" s="18">
        <v>0</v>
      </c>
      <c r="C9" s="18">
        <v>0</v>
      </c>
      <c r="D9" s="18">
        <v>10</v>
      </c>
      <c r="E9" s="18">
        <v>50</v>
      </c>
      <c r="F9" s="18">
        <v>100</v>
      </c>
      <c r="G9" s="18">
        <v>143.333333333333</v>
      </c>
      <c r="H9" s="18">
        <v>188.333333333333</v>
      </c>
      <c r="I9" s="18">
        <v>233.333333333333</v>
      </c>
      <c r="J9" s="18">
        <v>278.33333333333297</v>
      </c>
      <c r="K9" s="18">
        <v>323.33333333333297</v>
      </c>
      <c r="L9" s="18">
        <v>368.33333333333297</v>
      </c>
      <c r="M9" s="18">
        <f>L9*1.16</f>
        <v>427.2666666666662</v>
      </c>
      <c r="N9" s="18">
        <f>M9*1.16</f>
        <v>495.62933333333274</v>
      </c>
      <c r="O9" s="18">
        <f t="shared" ref="O9:V9" si="10">N9*1.16</f>
        <v>574.93002666666598</v>
      </c>
      <c r="P9" s="18">
        <f t="shared" si="10"/>
        <v>666.91883093333252</v>
      </c>
      <c r="Q9" s="18">
        <f t="shared" si="10"/>
        <v>773.62584388266566</v>
      </c>
      <c r="R9" s="18">
        <f t="shared" si="10"/>
        <v>897.40597890389211</v>
      </c>
      <c r="S9" s="18">
        <f t="shared" si="10"/>
        <v>1040.9909355285147</v>
      </c>
      <c r="T9" s="18">
        <f t="shared" si="10"/>
        <v>1207.5494852130769</v>
      </c>
      <c r="U9" s="18">
        <f>T9*1.16</f>
        <v>1400.757402847169</v>
      </c>
      <c r="V9" s="18">
        <f t="shared" si="10"/>
        <v>1624.8785873027159</v>
      </c>
      <c r="W9" s="18">
        <v>50</v>
      </c>
      <c r="X9" s="18">
        <v>60</v>
      </c>
      <c r="Y9" s="18">
        <v>200</v>
      </c>
    </row>
    <row r="10" spans="1:49" x14ac:dyDescent="0.3">
      <c r="A10" s="108" t="s">
        <v>99</v>
      </c>
      <c r="B10" s="18">
        <v>100</v>
      </c>
      <c r="C10" s="18">
        <f>B10*1.12</f>
        <v>112.00000000000001</v>
      </c>
      <c r="D10" s="18">
        <f t="shared" ref="D10:K10" si="11">C10*1.12</f>
        <v>125.44000000000003</v>
      </c>
      <c r="E10" s="18">
        <f t="shared" si="11"/>
        <v>140.49280000000005</v>
      </c>
      <c r="F10" s="18">
        <f t="shared" si="11"/>
        <v>157.35193600000005</v>
      </c>
      <c r="G10" s="18">
        <f t="shared" si="11"/>
        <v>176.23416832000007</v>
      </c>
      <c r="H10" s="18">
        <f t="shared" si="11"/>
        <v>197.38226851840008</v>
      </c>
      <c r="I10" s="18">
        <f t="shared" si="11"/>
        <v>221.0681407406081</v>
      </c>
      <c r="J10" s="18">
        <f t="shared" si="11"/>
        <v>247.59631762948109</v>
      </c>
      <c r="K10" s="18">
        <f t="shared" si="11"/>
        <v>277.30787574501886</v>
      </c>
      <c r="L10" s="18">
        <f t="shared" ref="L10:V10" si="12">K10*1.11</f>
        <v>307.81174207697097</v>
      </c>
      <c r="M10" s="18">
        <f t="shared" si="12"/>
        <v>341.67103370543782</v>
      </c>
      <c r="N10" s="18">
        <f t="shared" si="12"/>
        <v>379.25484741303603</v>
      </c>
      <c r="O10" s="18">
        <f t="shared" si="12"/>
        <v>420.97288062847002</v>
      </c>
      <c r="P10" s="18">
        <f t="shared" si="12"/>
        <v>467.27989749760178</v>
      </c>
      <c r="Q10" s="18">
        <f t="shared" si="12"/>
        <v>518.68068622233807</v>
      </c>
      <c r="R10" s="18">
        <f t="shared" si="12"/>
        <v>575.73556170679535</v>
      </c>
      <c r="S10" s="18">
        <f t="shared" si="12"/>
        <v>639.06647349454295</v>
      </c>
      <c r="T10" s="18">
        <f t="shared" si="12"/>
        <v>709.36378557894272</v>
      </c>
      <c r="U10" s="18">
        <f t="shared" si="12"/>
        <v>787.39380199262655</v>
      </c>
      <c r="V10" s="18">
        <f t="shared" si="12"/>
        <v>874.0071202118155</v>
      </c>
      <c r="W10" s="18">
        <v>5</v>
      </c>
      <c r="X10" s="18">
        <v>7</v>
      </c>
      <c r="Y10" s="18">
        <v>10</v>
      </c>
    </row>
    <row r="11" spans="1:49" x14ac:dyDescent="0.3">
      <c r="A11" s="308" t="s">
        <v>100</v>
      </c>
      <c r="B11" s="123"/>
      <c r="C11" s="12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49" x14ac:dyDescent="0.3">
      <c r="A12" s="308"/>
      <c r="B12" s="123"/>
      <c r="C12" s="12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49" x14ac:dyDescent="0.3">
      <c r="A13" t="s">
        <v>6</v>
      </c>
      <c r="B13" s="18">
        <v>250</v>
      </c>
      <c r="C13" s="18">
        <f>B13*1.015</f>
        <v>253.74999999999997</v>
      </c>
      <c r="D13" s="18">
        <f t="shared" ref="D13:V13" si="13">C13*1.015</f>
        <v>257.55624999999992</v>
      </c>
      <c r="E13" s="18">
        <f t="shared" si="13"/>
        <v>261.41959374999988</v>
      </c>
      <c r="F13" s="18">
        <f t="shared" si="13"/>
        <v>265.34088765624983</v>
      </c>
      <c r="G13" s="18">
        <f t="shared" si="13"/>
        <v>269.32100097109355</v>
      </c>
      <c r="H13" s="18">
        <f t="shared" si="13"/>
        <v>273.36081598565994</v>
      </c>
      <c r="I13" s="18">
        <f t="shared" si="13"/>
        <v>277.46122822544481</v>
      </c>
      <c r="J13" s="18">
        <f t="shared" si="13"/>
        <v>281.62314664882643</v>
      </c>
      <c r="K13" s="18">
        <f t="shared" si="13"/>
        <v>285.84749384855883</v>
      </c>
      <c r="L13" s="18">
        <f t="shared" si="13"/>
        <v>290.13520625628718</v>
      </c>
      <c r="M13" s="18">
        <f t="shared" si="13"/>
        <v>294.48723435013147</v>
      </c>
      <c r="N13" s="18">
        <f t="shared" si="13"/>
        <v>298.90454286538341</v>
      </c>
      <c r="O13" s="18">
        <f t="shared" si="13"/>
        <v>303.38811100836415</v>
      </c>
      <c r="P13" s="18">
        <f t="shared" si="13"/>
        <v>307.9389326734896</v>
      </c>
      <c r="Q13" s="18">
        <f t="shared" si="13"/>
        <v>312.5580166635919</v>
      </c>
      <c r="R13" s="18">
        <f t="shared" si="13"/>
        <v>317.24638691354573</v>
      </c>
      <c r="S13" s="18">
        <f t="shared" si="13"/>
        <v>322.00508271724891</v>
      </c>
      <c r="T13" s="18">
        <f t="shared" si="13"/>
        <v>326.83515895800764</v>
      </c>
      <c r="U13" s="18">
        <f t="shared" si="13"/>
        <v>331.73768634237774</v>
      </c>
      <c r="V13" s="18">
        <f t="shared" si="13"/>
        <v>336.71375163751338</v>
      </c>
      <c r="W13" s="18">
        <v>250</v>
      </c>
      <c r="X13" s="18">
        <v>500</v>
      </c>
      <c r="Y13" s="18">
        <v>1700</v>
      </c>
      <c r="AA13" t="s">
        <v>36</v>
      </c>
      <c r="AB13">
        <v>1</v>
      </c>
    </row>
    <row r="14" spans="1:49" x14ac:dyDescent="0.3">
      <c r="A14" t="s">
        <v>7</v>
      </c>
      <c r="B14" s="18">
        <f t="shared" ref="B14:K17" si="14">B$13*$AA14</f>
        <v>95</v>
      </c>
      <c r="C14" s="18">
        <f t="shared" si="14"/>
        <v>96.424999999999997</v>
      </c>
      <c r="D14" s="18">
        <f t="shared" si="14"/>
        <v>97.871374999999972</v>
      </c>
      <c r="E14" s="18">
        <f t="shared" si="14"/>
        <v>99.339445624999954</v>
      </c>
      <c r="F14" s="18">
        <f t="shared" si="14"/>
        <v>100.82953730937494</v>
      </c>
      <c r="G14" s="18">
        <f t="shared" si="14"/>
        <v>102.34198036901554</v>
      </c>
      <c r="H14" s="18">
        <f t="shared" si="14"/>
        <v>103.87711007455079</v>
      </c>
      <c r="I14" s="18">
        <f t="shared" si="14"/>
        <v>105.43526672566902</v>
      </c>
      <c r="J14" s="18">
        <f t="shared" si="14"/>
        <v>107.01679572655405</v>
      </c>
      <c r="K14" s="18">
        <f t="shared" si="14"/>
        <v>108.62204766245236</v>
      </c>
      <c r="L14" s="18">
        <f t="shared" ref="L14:V17" si="15">L$13*$AA14</f>
        <v>110.25137837738913</v>
      </c>
      <c r="M14" s="18">
        <f t="shared" si="15"/>
        <v>111.90514905304997</v>
      </c>
      <c r="N14" s="18">
        <f t="shared" si="15"/>
        <v>113.5837262888457</v>
      </c>
      <c r="O14" s="18">
        <f t="shared" si="15"/>
        <v>115.28748218317838</v>
      </c>
      <c r="P14" s="18">
        <f t="shared" si="15"/>
        <v>117.01679441592606</v>
      </c>
      <c r="Q14" s="18">
        <f t="shared" si="15"/>
        <v>118.77204633216492</v>
      </c>
      <c r="R14" s="18">
        <f t="shared" si="15"/>
        <v>120.55362702714739</v>
      </c>
      <c r="S14" s="18">
        <f t="shared" si="15"/>
        <v>122.36193143255458</v>
      </c>
      <c r="T14" s="18">
        <f t="shared" si="15"/>
        <v>124.19736040404291</v>
      </c>
      <c r="U14" s="18">
        <f t="shared" si="15"/>
        <v>126.06032081010355</v>
      </c>
      <c r="V14" s="18">
        <f t="shared" si="15"/>
        <v>127.95122562225508</v>
      </c>
      <c r="W14" s="18">
        <v>41</v>
      </c>
      <c r="X14" s="18">
        <v>45</v>
      </c>
      <c r="Y14" s="18">
        <v>50</v>
      </c>
      <c r="AA14">
        <v>0.38</v>
      </c>
      <c r="AB14">
        <v>1</v>
      </c>
    </row>
    <row r="15" spans="1:49" x14ac:dyDescent="0.3">
      <c r="A15" t="s">
        <v>8</v>
      </c>
      <c r="B15" s="18">
        <f t="shared" si="14"/>
        <v>50</v>
      </c>
      <c r="C15" s="18">
        <f t="shared" si="14"/>
        <v>50.75</v>
      </c>
      <c r="D15" s="18">
        <f t="shared" si="14"/>
        <v>51.51124999999999</v>
      </c>
      <c r="E15" s="18">
        <f t="shared" si="14"/>
        <v>52.283918749999977</v>
      </c>
      <c r="F15" s="18">
        <f t="shared" si="14"/>
        <v>53.068177531249972</v>
      </c>
      <c r="G15" s="18">
        <f t="shared" si="14"/>
        <v>53.864200194218711</v>
      </c>
      <c r="H15" s="18">
        <f t="shared" si="14"/>
        <v>54.672163197131994</v>
      </c>
      <c r="I15" s="18">
        <f t="shared" si="14"/>
        <v>55.492245645088964</v>
      </c>
      <c r="J15" s="18">
        <f t="shared" si="14"/>
        <v>56.324629329765287</v>
      </c>
      <c r="K15" s="18">
        <f t="shared" si="14"/>
        <v>57.169498769711765</v>
      </c>
      <c r="L15" s="18">
        <f t="shared" si="15"/>
        <v>58.027041251257437</v>
      </c>
      <c r="M15" s="18">
        <f t="shared" si="15"/>
        <v>58.8974468700263</v>
      </c>
      <c r="N15" s="18">
        <f t="shared" si="15"/>
        <v>59.780908573076687</v>
      </c>
      <c r="O15" s="18">
        <f t="shared" si="15"/>
        <v>60.677622201672833</v>
      </c>
      <c r="P15" s="18">
        <f t="shared" si="15"/>
        <v>61.587786534697926</v>
      </c>
      <c r="Q15" s="18">
        <f t="shared" si="15"/>
        <v>62.51160333271838</v>
      </c>
      <c r="R15" s="18">
        <f t="shared" si="15"/>
        <v>63.449277382709148</v>
      </c>
      <c r="S15" s="18">
        <f t="shared" si="15"/>
        <v>64.401016543449785</v>
      </c>
      <c r="T15" s="18">
        <f t="shared" si="15"/>
        <v>65.367031791601534</v>
      </c>
      <c r="U15" s="18">
        <f t="shared" si="15"/>
        <v>66.347537268475548</v>
      </c>
      <c r="V15" s="18">
        <f t="shared" si="15"/>
        <v>67.342750327502685</v>
      </c>
      <c r="W15" s="18">
        <v>150</v>
      </c>
      <c r="X15" s="18">
        <v>150</v>
      </c>
      <c r="Y15" s="18">
        <v>150</v>
      </c>
      <c r="AA15">
        <v>0.2</v>
      </c>
      <c r="AB15">
        <v>1</v>
      </c>
    </row>
    <row r="16" spans="1:49" x14ac:dyDescent="0.3">
      <c r="A16" t="s">
        <v>12</v>
      </c>
      <c r="B16" s="18">
        <f t="shared" si="14"/>
        <v>75</v>
      </c>
      <c r="C16" s="18">
        <f t="shared" si="14"/>
        <v>76.124999999999986</v>
      </c>
      <c r="D16" s="18">
        <f t="shared" si="14"/>
        <v>77.26687499999997</v>
      </c>
      <c r="E16" s="18">
        <f t="shared" si="14"/>
        <v>78.425878124999954</v>
      </c>
      <c r="F16" s="18">
        <f t="shared" si="14"/>
        <v>79.602266296874944</v>
      </c>
      <c r="G16" s="18">
        <f t="shared" si="14"/>
        <v>80.796300291328066</v>
      </c>
      <c r="H16" s="18">
        <f t="shared" si="14"/>
        <v>82.008244795697976</v>
      </c>
      <c r="I16" s="18">
        <f t="shared" si="14"/>
        <v>83.238368467633435</v>
      </c>
      <c r="J16" s="18">
        <f t="shared" si="14"/>
        <v>84.48694399464793</v>
      </c>
      <c r="K16" s="18">
        <f t="shared" si="14"/>
        <v>85.754248154567648</v>
      </c>
      <c r="L16" s="18">
        <f t="shared" si="15"/>
        <v>87.040561876886144</v>
      </c>
      <c r="M16" s="18">
        <f t="shared" si="15"/>
        <v>88.346170305039436</v>
      </c>
      <c r="N16" s="18">
        <f t="shared" si="15"/>
        <v>89.671362859615016</v>
      </c>
      <c r="O16" s="18">
        <f t="shared" si="15"/>
        <v>91.016433302509242</v>
      </c>
      <c r="P16" s="18">
        <f t="shared" si="15"/>
        <v>92.381679802046875</v>
      </c>
      <c r="Q16" s="18">
        <f t="shared" si="15"/>
        <v>93.76740499907757</v>
      </c>
      <c r="R16" s="18">
        <f t="shared" si="15"/>
        <v>95.173916074063712</v>
      </c>
      <c r="S16" s="18">
        <f t="shared" si="15"/>
        <v>96.60152481517467</v>
      </c>
      <c r="T16" s="18">
        <f t="shared" si="15"/>
        <v>98.050547687402286</v>
      </c>
      <c r="U16" s="18">
        <f t="shared" si="15"/>
        <v>99.521305902713323</v>
      </c>
      <c r="V16" s="18">
        <f t="shared" si="15"/>
        <v>101.01412549125401</v>
      </c>
      <c r="W16" s="18">
        <v>100</v>
      </c>
      <c r="X16" s="18">
        <v>100</v>
      </c>
      <c r="Y16" s="18">
        <v>100</v>
      </c>
      <c r="AA16">
        <v>0.3</v>
      </c>
      <c r="AB16">
        <v>1</v>
      </c>
    </row>
    <row r="17" spans="1:28" x14ac:dyDescent="0.3">
      <c r="A17" t="s">
        <v>13</v>
      </c>
      <c r="B17" s="18">
        <f t="shared" si="14"/>
        <v>87.5</v>
      </c>
      <c r="C17" s="18">
        <f t="shared" si="14"/>
        <v>88.812499999999986</v>
      </c>
      <c r="D17" s="18">
        <f t="shared" si="14"/>
        <v>90.144687499999961</v>
      </c>
      <c r="E17" s="18">
        <f t="shared" si="14"/>
        <v>91.496857812499954</v>
      </c>
      <c r="F17" s="18">
        <f t="shared" si="14"/>
        <v>92.86931067968743</v>
      </c>
      <c r="G17" s="18">
        <f t="shared" si="14"/>
        <v>94.262350339882744</v>
      </c>
      <c r="H17" s="18">
        <f t="shared" si="14"/>
        <v>95.676285594980968</v>
      </c>
      <c r="I17" s="18">
        <f t="shared" si="14"/>
        <v>97.111429878905682</v>
      </c>
      <c r="J17" s="18">
        <f t="shared" si="14"/>
        <v>98.568101327089252</v>
      </c>
      <c r="K17" s="18">
        <f t="shared" si="14"/>
        <v>100.04662284699559</v>
      </c>
      <c r="L17" s="18">
        <f t="shared" si="15"/>
        <v>101.54732218970051</v>
      </c>
      <c r="M17" s="18">
        <f t="shared" si="15"/>
        <v>103.070532022546</v>
      </c>
      <c r="N17" s="18">
        <f t="shared" si="15"/>
        <v>104.61659000288418</v>
      </c>
      <c r="O17" s="18">
        <f t="shared" si="15"/>
        <v>106.18583885292745</v>
      </c>
      <c r="P17" s="18">
        <f t="shared" si="15"/>
        <v>107.77862643572135</v>
      </c>
      <c r="Q17" s="18">
        <f t="shared" si="15"/>
        <v>109.39530583225716</v>
      </c>
      <c r="R17" s="18">
        <f t="shared" si="15"/>
        <v>111.036235419741</v>
      </c>
      <c r="S17" s="18">
        <f t="shared" si="15"/>
        <v>112.70177895103711</v>
      </c>
      <c r="T17" s="18">
        <f t="shared" si="15"/>
        <v>114.39230563530266</v>
      </c>
      <c r="U17" s="18">
        <f t="shared" si="15"/>
        <v>116.1081902198322</v>
      </c>
      <c r="V17" s="18">
        <f t="shared" si="15"/>
        <v>117.84981307312968</v>
      </c>
      <c r="W17" s="18">
        <v>200</v>
      </c>
      <c r="X17" s="18">
        <v>200</v>
      </c>
      <c r="Y17" s="18">
        <v>200</v>
      </c>
      <c r="AA17">
        <v>0.35</v>
      </c>
      <c r="AB17">
        <v>1</v>
      </c>
    </row>
    <row r="20" spans="1:28" x14ac:dyDescent="0.3">
      <c r="A20" t="s">
        <v>34</v>
      </c>
    </row>
    <row r="22" spans="1:28" ht="16.5" x14ac:dyDescent="0.35">
      <c r="A22" s="23"/>
      <c r="B22" s="33" t="s">
        <v>18</v>
      </c>
      <c r="C22" s="23"/>
    </row>
    <row r="23" spans="1:28" x14ac:dyDescent="0.3">
      <c r="B23">
        <v>2010</v>
      </c>
      <c r="C23" s="146">
        <v>2011</v>
      </c>
      <c r="D23" s="146">
        <v>2012</v>
      </c>
      <c r="E23" s="146">
        <v>2013</v>
      </c>
      <c r="F23" s="146">
        <v>2014</v>
      </c>
      <c r="G23" s="146">
        <v>2015</v>
      </c>
      <c r="H23" s="146">
        <v>2016</v>
      </c>
      <c r="I23" s="146">
        <v>2017</v>
      </c>
      <c r="J23" s="146">
        <v>2018</v>
      </c>
      <c r="K23" s="146">
        <v>2019</v>
      </c>
      <c r="L23" s="146">
        <v>2020</v>
      </c>
      <c r="M23" s="7">
        <v>2021</v>
      </c>
      <c r="N23" s="7">
        <v>2022</v>
      </c>
      <c r="O23" s="7">
        <v>2023</v>
      </c>
      <c r="P23" s="7">
        <v>2024</v>
      </c>
      <c r="Q23" s="7">
        <v>2025</v>
      </c>
      <c r="R23" s="7">
        <v>2026</v>
      </c>
      <c r="S23" s="7">
        <v>2027</v>
      </c>
      <c r="T23" s="7">
        <v>2028</v>
      </c>
      <c r="U23" s="7">
        <v>2029</v>
      </c>
      <c r="V23" s="7">
        <v>2030</v>
      </c>
    </row>
    <row r="24" spans="1:28" ht="15.5" x14ac:dyDescent="0.35">
      <c r="A24" t="s">
        <v>19</v>
      </c>
      <c r="B24" s="144">
        <f>B3*$W$3/1000</f>
        <v>8.76</v>
      </c>
      <c r="C24" s="144">
        <f>C3*$W$3/1000*AD3</f>
        <v>8.4359999999999999</v>
      </c>
      <c r="D24" s="144">
        <f t="shared" ref="D24:U24" si="16">D3*$W$3/1000*AE3</f>
        <v>8.1766500000000004</v>
      </c>
      <c r="E24" s="144">
        <f t="shared" si="16"/>
        <v>7.6124611499999988</v>
      </c>
      <c r="F24" s="144">
        <f t="shared" si="16"/>
        <v>7.0872013306499984</v>
      </c>
      <c r="G24" s="144">
        <f t="shared" si="16"/>
        <v>6.5981844388351485</v>
      </c>
      <c r="H24" s="144">
        <f t="shared" si="16"/>
        <v>6.1429097125555225</v>
      </c>
      <c r="I24" s="144">
        <f t="shared" si="16"/>
        <v>5.7190489423891897</v>
      </c>
      <c r="J24" s="144">
        <f t="shared" si="16"/>
        <v>5.3244345653643359</v>
      </c>
      <c r="K24" s="144">
        <f t="shared" si="16"/>
        <v>4.957048580354197</v>
      </c>
      <c r="L24" s="144">
        <f t="shared" si="16"/>
        <v>4.6150122283097561</v>
      </c>
      <c r="M24" s="144">
        <f t="shared" si="16"/>
        <v>4.2965763845563831</v>
      </c>
      <c r="N24" s="144">
        <f t="shared" si="16"/>
        <v>4.0001126140219929</v>
      </c>
      <c r="O24" s="144">
        <f t="shared" si="16"/>
        <v>3.7241048436544752</v>
      </c>
      <c r="P24" s="144">
        <f t="shared" si="16"/>
        <v>3.4671416094423169</v>
      </c>
      <c r="Q24" s="144">
        <f t="shared" si="16"/>
        <v>3.2279088383907975</v>
      </c>
      <c r="R24" s="144">
        <f t="shared" si="16"/>
        <v>3.005183128541832</v>
      </c>
      <c r="S24" s="144">
        <f t="shared" si="16"/>
        <v>2.797825492672446</v>
      </c>
      <c r="T24" s="144">
        <f t="shared" si="16"/>
        <v>2.6047755336780472</v>
      </c>
      <c r="U24" s="144">
        <f t="shared" si="16"/>
        <v>2.425046021854262</v>
      </c>
      <c r="V24" s="144">
        <f>V3*$W$3/1000*AW3</f>
        <v>2.2577178463463179</v>
      </c>
    </row>
    <row r="25" spans="1:28" ht="15.5" x14ac:dyDescent="0.35">
      <c r="A25" t="s">
        <v>20</v>
      </c>
      <c r="B25" s="144">
        <f>B4*$W$4/1000</f>
        <v>30.294</v>
      </c>
      <c r="C25" s="144">
        <f t="shared" ref="C25:V25" si="17">C4*$W$4/1000*AD3</f>
        <v>29.312249999999999</v>
      </c>
      <c r="D25" s="144">
        <f t="shared" si="17"/>
        <v>28.521707500000002</v>
      </c>
      <c r="E25" s="144">
        <f t="shared" si="17"/>
        <v>26.553709682499999</v>
      </c>
      <c r="F25" s="144">
        <f t="shared" si="17"/>
        <v>24.7215037144075</v>
      </c>
      <c r="G25" s="144">
        <f t="shared" si="17"/>
        <v>23.01571995811338</v>
      </c>
      <c r="H25" s="144">
        <f t="shared" si="17"/>
        <v>21.427635281003553</v>
      </c>
      <c r="I25" s="144">
        <f t="shared" si="17"/>
        <v>19.949128446614306</v>
      </c>
      <c r="J25" s="144">
        <f t="shared" si="17"/>
        <v>18.572638583797922</v>
      </c>
      <c r="K25" s="144">
        <f t="shared" si="17"/>
        <v>17.291126521515864</v>
      </c>
      <c r="L25" s="144">
        <f t="shared" si="17"/>
        <v>16.098038791531266</v>
      </c>
      <c r="M25" s="144">
        <f t="shared" si="17"/>
        <v>14.987274114915605</v>
      </c>
      <c r="N25" s="144">
        <f t="shared" si="17"/>
        <v>13.953152200986429</v>
      </c>
      <c r="O25" s="144">
        <f t="shared" si="17"/>
        <v>12.990384699118362</v>
      </c>
      <c r="P25" s="144">
        <f t="shared" si="17"/>
        <v>12.094048154879195</v>
      </c>
      <c r="Q25" s="144">
        <f t="shared" si="17"/>
        <v>11.259558832192528</v>
      </c>
      <c r="R25" s="144">
        <f t="shared" si="17"/>
        <v>10.482649272771241</v>
      </c>
      <c r="S25" s="144">
        <f t="shared" si="17"/>
        <v>9.7593464729500248</v>
      </c>
      <c r="T25" s="144">
        <f t="shared" si="17"/>
        <v>9.0859515663164707</v>
      </c>
      <c r="U25" s="144">
        <f t="shared" si="17"/>
        <v>8.4590209082406318</v>
      </c>
      <c r="V25" s="144">
        <f t="shared" si="17"/>
        <v>7.8753484655720252</v>
      </c>
    </row>
    <row r="26" spans="1:28" ht="15.5" x14ac:dyDescent="0.35">
      <c r="A26" t="s">
        <v>21</v>
      </c>
      <c r="B26" s="144">
        <f>B5*$W$5/1000</f>
        <v>15.074999999999999</v>
      </c>
      <c r="C26" s="144">
        <f>C5*$W$5/1000*AD3</f>
        <v>15.31875</v>
      </c>
      <c r="D26" s="144">
        <f>D5*$W$5/1000*AE3</f>
        <v>16.651125</v>
      </c>
      <c r="E26" s="144">
        <f t="shared" ref="E26:V26" si="18">E5*$W$5/1000</f>
        <v>21.3</v>
      </c>
      <c r="F26" s="144">
        <f t="shared" si="18"/>
        <v>24.9</v>
      </c>
      <c r="G26" s="144">
        <f t="shared" si="18"/>
        <v>28.8</v>
      </c>
      <c r="H26" s="144">
        <f t="shared" si="18"/>
        <v>33.225000000000001</v>
      </c>
      <c r="I26" s="144">
        <f t="shared" si="18"/>
        <v>38.329882812500003</v>
      </c>
      <c r="J26" s="144">
        <f t="shared" si="18"/>
        <v>44.219109598795569</v>
      </c>
      <c r="K26" s="144">
        <f t="shared" si="18"/>
        <v>51.013191542360509</v>
      </c>
      <c r="L26" s="144">
        <f t="shared" si="18"/>
        <v>58.851155867879442</v>
      </c>
      <c r="M26" s="144">
        <f t="shared" si="18"/>
        <v>49.434970929018725</v>
      </c>
      <c r="N26" s="144">
        <f t="shared" si="18"/>
        <v>41.525375580375716</v>
      </c>
      <c r="O26" s="144">
        <f t="shared" si="18"/>
        <v>34.881315487515586</v>
      </c>
      <c r="P26" s="144">
        <f t="shared" si="18"/>
        <v>29.300305009513089</v>
      </c>
      <c r="Q26" s="144">
        <f t="shared" si="18"/>
        <v>24.612256207990988</v>
      </c>
      <c r="R26" s="144">
        <f t="shared" si="18"/>
        <v>20.674295214712423</v>
      </c>
      <c r="S26" s="144">
        <f t="shared" si="18"/>
        <v>17.366407980358435</v>
      </c>
      <c r="T26" s="144">
        <f t="shared" si="18"/>
        <v>14.587782703501084</v>
      </c>
      <c r="U26" s="144">
        <f t="shared" si="18"/>
        <v>12.253737470940909</v>
      </c>
      <c r="V26" s="144">
        <f t="shared" si="18"/>
        <v>10.29313947559036</v>
      </c>
    </row>
    <row r="27" spans="1:28" ht="15.5" x14ac:dyDescent="0.35">
      <c r="A27" t="s">
        <v>22</v>
      </c>
      <c r="B27" s="144">
        <f>B6*$W$6/1000</f>
        <v>10.5</v>
      </c>
      <c r="C27" s="144">
        <f t="shared" ref="C27:V27" si="19">C6*$W$6/1000*AD3</f>
        <v>13.11</v>
      </c>
      <c r="D27" s="144">
        <f t="shared" si="19"/>
        <v>18.952500000000001</v>
      </c>
      <c r="E27" s="144">
        <f t="shared" si="19"/>
        <v>23.149124999999998</v>
      </c>
      <c r="F27" s="144">
        <f t="shared" si="19"/>
        <v>28.711345312499997</v>
      </c>
      <c r="G27" s="144">
        <f t="shared" si="19"/>
        <v>32.266665093749999</v>
      </c>
      <c r="H27" s="144">
        <f t="shared" si="19"/>
        <v>32.185998431015612</v>
      </c>
      <c r="I27" s="144">
        <f t="shared" si="19"/>
        <v>32.105533434938074</v>
      </c>
      <c r="J27" s="144">
        <f t="shared" si="19"/>
        <v>32.025269601350729</v>
      </c>
      <c r="K27" s="144">
        <f t="shared" si="19"/>
        <v>31.945206427347355</v>
      </c>
      <c r="L27" s="144">
        <f t="shared" si="19"/>
        <v>31.865343411278982</v>
      </c>
      <c r="M27" s="144">
        <f t="shared" si="19"/>
        <v>30.271540910953178</v>
      </c>
      <c r="N27" s="144">
        <f t="shared" si="19"/>
        <v>28.757963865405518</v>
      </c>
      <c r="O27" s="144">
        <f t="shared" si="19"/>
        <v>27.32006567213524</v>
      </c>
      <c r="P27" s="144">
        <f t="shared" si="19"/>
        <v>25.954062388528477</v>
      </c>
      <c r="Q27" s="144">
        <f t="shared" si="19"/>
        <v>24.656359269102051</v>
      </c>
      <c r="R27" s="144">
        <f t="shared" si="19"/>
        <v>23.423541305646946</v>
      </c>
      <c r="S27" s="144">
        <f t="shared" si="19"/>
        <v>22.252364240364596</v>
      </c>
      <c r="T27" s="144">
        <f t="shared" si="19"/>
        <v>21.139746028346366</v>
      </c>
      <c r="U27" s="144">
        <f t="shared" si="19"/>
        <v>20.082758726929047</v>
      </c>
      <c r="V27" s="144">
        <f t="shared" si="19"/>
        <v>19.078620790582594</v>
      </c>
    </row>
    <row r="28" spans="1:28" ht="15.5" x14ac:dyDescent="0.35">
      <c r="A28" t="s">
        <v>23</v>
      </c>
      <c r="B28" s="144">
        <f>B7*$W$7/1000</f>
        <v>3.9</v>
      </c>
      <c r="C28" s="144">
        <f t="shared" ref="C28:V28" si="20">C7*$W$7/1000*AD3</f>
        <v>7.4099999999999993</v>
      </c>
      <c r="D28" s="144">
        <f t="shared" si="20"/>
        <v>10.559249999999999</v>
      </c>
      <c r="E28" s="144">
        <f t="shared" si="20"/>
        <v>13.84317675</v>
      </c>
      <c r="F28" s="144">
        <f t="shared" si="20"/>
        <v>16.264060799999996</v>
      </c>
      <c r="G28" s="144">
        <f t="shared" si="20"/>
        <v>19.373927113124996</v>
      </c>
      <c r="H28" s="144">
        <f t="shared" si="20"/>
        <v>21.166015371089056</v>
      </c>
      <c r="I28" s="144">
        <f t="shared" si="20"/>
        <v>23.123871792914791</v>
      </c>
      <c r="J28" s="144">
        <f t="shared" si="20"/>
        <v>25.262829933759402</v>
      </c>
      <c r="K28" s="144">
        <f t="shared" si="20"/>
        <v>27.599641702632141</v>
      </c>
      <c r="L28" s="144">
        <f t="shared" si="20"/>
        <v>26.199530987192972</v>
      </c>
      <c r="M28" s="144">
        <f t="shared" si="20"/>
        <v>24.889554437833318</v>
      </c>
      <c r="N28" s="144">
        <f t="shared" si="20"/>
        <v>23.645076715941652</v>
      </c>
      <c r="O28" s="144">
        <f t="shared" si="20"/>
        <v>22.462822880144568</v>
      </c>
      <c r="P28" s="144">
        <f t="shared" si="20"/>
        <v>21.339681736137337</v>
      </c>
      <c r="Q28" s="144">
        <f t="shared" si="20"/>
        <v>20.272697649330471</v>
      </c>
      <c r="R28" s="144">
        <f t="shared" si="20"/>
        <v>19.259062766863945</v>
      </c>
      <c r="S28" s="144">
        <f t="shared" si="20"/>
        <v>18.296109628520746</v>
      </c>
      <c r="T28" s="144">
        <f t="shared" si="20"/>
        <v>17.381304147094706</v>
      </c>
      <c r="U28" s="144">
        <f t="shared" si="20"/>
        <v>16.512238939739969</v>
      </c>
      <c r="V28" s="144">
        <f t="shared" si="20"/>
        <v>15.686626992752972</v>
      </c>
    </row>
    <row r="29" spans="1:28" ht="15.5" x14ac:dyDescent="0.35">
      <c r="A29" s="36" t="s">
        <v>38</v>
      </c>
      <c r="B29" s="144">
        <f>B8*$W$8/1000</f>
        <v>12.5</v>
      </c>
      <c r="C29" s="144">
        <f t="shared" ref="C29:V29" si="21">C8*$W$8/1000*AD3</f>
        <v>11.969999999999999</v>
      </c>
      <c r="D29" s="144">
        <f t="shared" si="21"/>
        <v>9.4762500000000003</v>
      </c>
      <c r="E29" s="144">
        <f t="shared" si="21"/>
        <v>7.7678174999999996</v>
      </c>
      <c r="F29" s="144">
        <f t="shared" si="21"/>
        <v>4.8300220624999994</v>
      </c>
      <c r="G29" s="144">
        <f t="shared" si="21"/>
        <v>5.9116863624999985</v>
      </c>
      <c r="H29" s="144">
        <f t="shared" si="21"/>
        <v>5.3352969421562486</v>
      </c>
      <c r="I29" s="144">
        <f t="shared" si="21"/>
        <v>4.8151054902960126</v>
      </c>
      <c r="J29" s="144">
        <f t="shared" si="21"/>
        <v>4.345632704992151</v>
      </c>
      <c r="K29" s="144">
        <f t="shared" si="21"/>
        <v>3.9219335162554159</v>
      </c>
      <c r="L29" s="144">
        <f t="shared" si="21"/>
        <v>3.5395449984205118</v>
      </c>
      <c r="M29" s="144">
        <f t="shared" si="21"/>
        <v>3.1944393610745117</v>
      </c>
      <c r="N29" s="144">
        <f t="shared" si="21"/>
        <v>2.8829815233697467</v>
      </c>
      <c r="O29" s="144">
        <f t="shared" si="21"/>
        <v>2.6018908248411958</v>
      </c>
      <c r="P29" s="144">
        <f t="shared" si="21"/>
        <v>2.3482064694191793</v>
      </c>
      <c r="Q29" s="144">
        <f t="shared" si="21"/>
        <v>2.1192563386508092</v>
      </c>
      <c r="R29" s="144">
        <f t="shared" si="21"/>
        <v>1.9126288456323548</v>
      </c>
      <c r="S29" s="144">
        <f t="shared" si="21"/>
        <v>1.7261475331832001</v>
      </c>
      <c r="T29" s="144">
        <f t="shared" si="21"/>
        <v>1.5578481486978379</v>
      </c>
      <c r="U29" s="144">
        <f t="shared" si="21"/>
        <v>1.4059579541997982</v>
      </c>
      <c r="V29" s="144">
        <f t="shared" si="21"/>
        <v>1.2688770536653178</v>
      </c>
    </row>
    <row r="30" spans="1:28" ht="15.5" x14ac:dyDescent="0.35">
      <c r="A30" s="36" t="s">
        <v>62</v>
      </c>
      <c r="B30" s="144">
        <f>B9*$W$9/1000</f>
        <v>0</v>
      </c>
      <c r="C30" s="144">
        <f t="shared" ref="C30:V30" si="22">C9*$W$9/1000*AD3</f>
        <v>0</v>
      </c>
      <c r="D30" s="144">
        <f t="shared" si="22"/>
        <v>0.45124999999999998</v>
      </c>
      <c r="E30" s="144">
        <f t="shared" si="22"/>
        <v>2.1434374999999997</v>
      </c>
      <c r="F30" s="144">
        <f t="shared" si="22"/>
        <v>4.072531249999999</v>
      </c>
      <c r="G30" s="144">
        <f t="shared" si="22"/>
        <v>5.5454300520833195</v>
      </c>
      <c r="H30" s="144">
        <f t="shared" si="22"/>
        <v>6.9221153033854028</v>
      </c>
      <c r="I30" s="144">
        <f t="shared" si="22"/>
        <v>8.1472684544270688</v>
      </c>
      <c r="J30" s="144">
        <f t="shared" si="22"/>
        <v>9.2326010021061045</v>
      </c>
      <c r="K30" s="144">
        <f t="shared" si="22"/>
        <v>10.189032123881168</v>
      </c>
      <c r="L30" s="144">
        <f t="shared" si="22"/>
        <v>11.026738630973462</v>
      </c>
      <c r="M30" s="144">
        <f t="shared" si="22"/>
        <v>12.151465971332753</v>
      </c>
      <c r="N30" s="144">
        <f t="shared" si="22"/>
        <v>13.39091550040869</v>
      </c>
      <c r="O30" s="144">
        <f t="shared" si="22"/>
        <v>14.756788881450374</v>
      </c>
      <c r="P30" s="144">
        <f t="shared" si="22"/>
        <v>16.261981347358311</v>
      </c>
      <c r="Q30" s="144">
        <f t="shared" si="22"/>
        <v>17.92070344478886</v>
      </c>
      <c r="R30" s="144">
        <f t="shared" si="22"/>
        <v>19.748615196157317</v>
      </c>
      <c r="S30" s="144">
        <f t="shared" si="22"/>
        <v>21.76297394616536</v>
      </c>
      <c r="T30" s="144">
        <f t="shared" si="22"/>
        <v>23.98279728867422</v>
      </c>
      <c r="U30" s="144">
        <f t="shared" si="22"/>
        <v>26.429042612118987</v>
      </c>
      <c r="V30" s="144">
        <f t="shared" si="22"/>
        <v>29.124804958555121</v>
      </c>
    </row>
    <row r="31" spans="1:28" ht="15.5" x14ac:dyDescent="0.35">
      <c r="A31" s="108" t="s">
        <v>99</v>
      </c>
      <c r="B31" s="144">
        <f>B10*$W$10/1000</f>
        <v>0.5</v>
      </c>
      <c r="C31" s="144">
        <f t="shared" ref="C31:V31" si="23">C10*$W$10/1000*AD3</f>
        <v>0.53200000000000014</v>
      </c>
      <c r="D31" s="144">
        <f t="shared" si="23"/>
        <v>0.56604800000000022</v>
      </c>
      <c r="E31" s="144">
        <f t="shared" si="23"/>
        <v>0.60227507200000008</v>
      </c>
      <c r="F31" s="144">
        <f t="shared" si="23"/>
        <v>0.64082067660800002</v>
      </c>
      <c r="G31" s="144">
        <f t="shared" si="23"/>
        <v>0.68183319991091218</v>
      </c>
      <c r="H31" s="144">
        <f t="shared" si="23"/>
        <v>0.72547052470521045</v>
      </c>
      <c r="I31" s="144">
        <f t="shared" si="23"/>
        <v>0.77190063828634403</v>
      </c>
      <c r="J31" s="144">
        <f t="shared" si="23"/>
        <v>0.82130227913666998</v>
      </c>
      <c r="K31" s="144">
        <f t="shared" si="23"/>
        <v>0.87386562500141696</v>
      </c>
      <c r="L31" s="144">
        <f t="shared" si="23"/>
        <v>0.92149130156399406</v>
      </c>
      <c r="M31" s="144">
        <f t="shared" si="23"/>
        <v>0.97171257749923179</v>
      </c>
      <c r="N31" s="144">
        <f t="shared" si="23"/>
        <v>1.0246709129729399</v>
      </c>
      <c r="O31" s="144">
        <f t="shared" si="23"/>
        <v>1.0805154777299653</v>
      </c>
      <c r="P31" s="144">
        <f t="shared" si="23"/>
        <v>1.1394035712662485</v>
      </c>
      <c r="Q31" s="144">
        <f t="shared" si="23"/>
        <v>1.201501065900259</v>
      </c>
      <c r="R31" s="144">
        <f t="shared" si="23"/>
        <v>1.2669828739918232</v>
      </c>
      <c r="S31" s="144">
        <f t="shared" si="23"/>
        <v>1.3360334406243779</v>
      </c>
      <c r="T31" s="144">
        <f t="shared" si="23"/>
        <v>1.4088472631384066</v>
      </c>
      <c r="U31" s="144">
        <f t="shared" si="23"/>
        <v>1.4856294389794495</v>
      </c>
      <c r="V31" s="144">
        <f t="shared" si="23"/>
        <v>1.5665962434038296</v>
      </c>
    </row>
    <row r="32" spans="1:28" ht="15.5" x14ac:dyDescent="0.35">
      <c r="A32" t="s">
        <v>24</v>
      </c>
      <c r="B32" s="144">
        <f>B13*$W$13/1000</f>
        <v>62.5</v>
      </c>
      <c r="C32" s="144">
        <f>C13*$W$13/1000*AD3</f>
        <v>60.265624999999993</v>
      </c>
      <c r="D32" s="144">
        <f t="shared" ref="D32:V32" si="24">D13*$W$13/1000*AE3</f>
        <v>58.111128906249981</v>
      </c>
      <c r="E32" s="144">
        <f t="shared" si="24"/>
        <v>56.03365604785153</v>
      </c>
      <c r="F32" s="144">
        <f t="shared" si="24"/>
        <v>54.030452844140818</v>
      </c>
      <c r="G32" s="144">
        <f t="shared" si="24"/>
        <v>52.09886415496279</v>
      </c>
      <c r="H32" s="144">
        <f t="shared" si="24"/>
        <v>50.236329761422859</v>
      </c>
      <c r="I32" s="144">
        <f t="shared" si="24"/>
        <v>48.440380972451983</v>
      </c>
      <c r="J32" s="144">
        <f t="shared" si="24"/>
        <v>46.708637352686814</v>
      </c>
      <c r="K32" s="144">
        <f t="shared" si="24"/>
        <v>45.038803567328259</v>
      </c>
      <c r="L32" s="144">
        <f t="shared" si="24"/>
        <v>43.428666339796258</v>
      </c>
      <c r="M32" s="144">
        <f t="shared" si="24"/>
        <v>41.876091518148542</v>
      </c>
      <c r="N32" s="144">
        <f t="shared" si="24"/>
        <v>40.37902124637472</v>
      </c>
      <c r="O32" s="144">
        <f t="shared" si="24"/>
        <v>38.935471236816824</v>
      </c>
      <c r="P32" s="144">
        <f t="shared" si="24"/>
        <v>37.543528140100619</v>
      </c>
      <c r="Q32" s="144">
        <f t="shared" si="24"/>
        <v>36.201347009092011</v>
      </c>
      <c r="R32" s="144">
        <f t="shared" si="24"/>
        <v>34.907148853516965</v>
      </c>
      <c r="S32" s="144">
        <f t="shared" si="24"/>
        <v>33.659218282003728</v>
      </c>
      <c r="T32" s="144">
        <f t="shared" si="24"/>
        <v>32.455901228422093</v>
      </c>
      <c r="U32" s="144">
        <f t="shared" si="24"/>
        <v>31.295602759506</v>
      </c>
      <c r="V32" s="144">
        <f t="shared" si="24"/>
        <v>30.176784960853656</v>
      </c>
    </row>
    <row r="33" spans="1:22" ht="15.5" x14ac:dyDescent="0.35">
      <c r="A33" t="s">
        <v>25</v>
      </c>
      <c r="B33" s="144">
        <f>B14*$W$14/1000</f>
        <v>3.895</v>
      </c>
      <c r="C33" s="144">
        <f>C14*$W$14/1000*AD3</f>
        <v>3.7557537499999998</v>
      </c>
      <c r="D33" s="144">
        <f t="shared" ref="D33:V33" si="25">D14*$W$14/1000*AE3</f>
        <v>3.6214855534374988</v>
      </c>
      <c r="E33" s="144">
        <f t="shared" si="25"/>
        <v>3.4920174449021073</v>
      </c>
      <c r="F33" s="144">
        <f t="shared" si="25"/>
        <v>3.3671778212468562</v>
      </c>
      <c r="G33" s="144">
        <f t="shared" si="25"/>
        <v>3.2468012141372804</v>
      </c>
      <c r="H33" s="144">
        <f t="shared" si="25"/>
        <v>3.1307280707318728</v>
      </c>
      <c r="I33" s="144">
        <f t="shared" si="25"/>
        <v>3.018804542203207</v>
      </c>
      <c r="J33" s="144">
        <f t="shared" si="25"/>
        <v>2.9108822798194423</v>
      </c>
      <c r="K33" s="144">
        <f t="shared" si="25"/>
        <v>2.8068182383158971</v>
      </c>
      <c r="L33" s="144">
        <f t="shared" si="25"/>
        <v>2.7064744862961025</v>
      </c>
      <c r="M33" s="144">
        <f t="shared" si="25"/>
        <v>2.6097180234110176</v>
      </c>
      <c r="N33" s="144">
        <f t="shared" si="25"/>
        <v>2.5164206040740726</v>
      </c>
      <c r="O33" s="144">
        <f t="shared" si="25"/>
        <v>2.4264585674784245</v>
      </c>
      <c r="P33" s="144">
        <f t="shared" si="25"/>
        <v>2.3397126736910705</v>
      </c>
      <c r="Q33" s="144">
        <f t="shared" si="25"/>
        <v>2.2560679456066142</v>
      </c>
      <c r="R33" s="144">
        <f t="shared" si="25"/>
        <v>2.1754135165511772</v>
      </c>
      <c r="S33" s="144">
        <f t="shared" si="25"/>
        <v>2.0976424833344725</v>
      </c>
      <c r="T33" s="144">
        <f t="shared" si="25"/>
        <v>2.0226517645552651</v>
      </c>
      <c r="U33" s="144">
        <f t="shared" si="25"/>
        <v>1.950341963972414</v>
      </c>
      <c r="V33" s="144">
        <f t="shared" si="25"/>
        <v>1.8806172387603999</v>
      </c>
    </row>
    <row r="34" spans="1:22" ht="15.5" x14ac:dyDescent="0.35">
      <c r="A34" t="s">
        <v>26</v>
      </c>
      <c r="B34" s="144">
        <f>B15*$W$15/1000</f>
        <v>7.5</v>
      </c>
      <c r="C34" s="144">
        <f>C15*$W$15/1000*AD3</f>
        <v>7.2318749999999996</v>
      </c>
      <c r="D34" s="144">
        <f t="shared" ref="D34:V34" si="26">D15*$W$15/1000*AE3</f>
        <v>6.9733354687499975</v>
      </c>
      <c r="E34" s="144">
        <f t="shared" si="26"/>
        <v>6.724038725742183</v>
      </c>
      <c r="F34" s="144">
        <f t="shared" si="26"/>
        <v>6.4836543412968997</v>
      </c>
      <c r="G34" s="144">
        <f t="shared" si="26"/>
        <v>6.2518636985955345</v>
      </c>
      <c r="H34" s="144">
        <f t="shared" si="26"/>
        <v>6.0283595713707445</v>
      </c>
      <c r="I34" s="144">
        <f t="shared" si="26"/>
        <v>5.8128457166942376</v>
      </c>
      <c r="J34" s="144">
        <f t="shared" si="26"/>
        <v>5.6050364823224177</v>
      </c>
      <c r="K34" s="144">
        <f t="shared" si="26"/>
        <v>5.4046564280793907</v>
      </c>
      <c r="L34" s="144">
        <f t="shared" si="26"/>
        <v>5.2114399607755511</v>
      </c>
      <c r="M34" s="144">
        <f t="shared" si="26"/>
        <v>5.0251309821778252</v>
      </c>
      <c r="N34" s="144">
        <f t="shared" si="26"/>
        <v>4.8454825495649674</v>
      </c>
      <c r="O34" s="144">
        <f t="shared" si="26"/>
        <v>4.6722565484180185</v>
      </c>
      <c r="P34" s="144">
        <f t="shared" si="26"/>
        <v>4.5052233768120749</v>
      </c>
      <c r="Q34" s="144">
        <f t="shared" si="26"/>
        <v>4.3441616410910413</v>
      </c>
      <c r="R34" s="144">
        <f t="shared" si="26"/>
        <v>4.1888578624220356</v>
      </c>
      <c r="S34" s="144">
        <f t="shared" si="26"/>
        <v>4.039106193840448</v>
      </c>
      <c r="T34" s="144">
        <f t="shared" si="26"/>
        <v>3.8947081474106517</v>
      </c>
      <c r="U34" s="144">
        <f t="shared" si="26"/>
        <v>3.7554723311407203</v>
      </c>
      <c r="V34" s="144">
        <f t="shared" si="26"/>
        <v>3.6212141953024393</v>
      </c>
    </row>
    <row r="35" spans="1:22" ht="15.5" x14ac:dyDescent="0.35">
      <c r="A35" t="s">
        <v>27</v>
      </c>
      <c r="B35" s="144">
        <f>B16*$W$16/1000</f>
        <v>7.5</v>
      </c>
      <c r="C35" s="144">
        <f>C16*$W$16/1000*AD3</f>
        <v>7.2318749999999978</v>
      </c>
      <c r="D35" s="144">
        <f t="shared" ref="D35:V35" si="27">D16*$W$16/1000*AE3</f>
        <v>6.9733354687499967</v>
      </c>
      <c r="E35" s="144">
        <f t="shared" si="27"/>
        <v>6.724038725742183</v>
      </c>
      <c r="F35" s="144">
        <f t="shared" si="27"/>
        <v>6.4836543412968979</v>
      </c>
      <c r="G35" s="144">
        <f t="shared" si="27"/>
        <v>6.2518636985955345</v>
      </c>
      <c r="H35" s="144">
        <f t="shared" si="27"/>
        <v>6.0283595713707427</v>
      </c>
      <c r="I35" s="144">
        <f t="shared" si="27"/>
        <v>5.8128457166942358</v>
      </c>
      <c r="J35" s="144">
        <f t="shared" si="27"/>
        <v>5.6050364823224177</v>
      </c>
      <c r="K35" s="144">
        <f t="shared" si="27"/>
        <v>5.4046564280793907</v>
      </c>
      <c r="L35" s="144">
        <f t="shared" si="27"/>
        <v>5.2114399607755511</v>
      </c>
      <c r="M35" s="144">
        <f t="shared" si="27"/>
        <v>5.0251309821778243</v>
      </c>
      <c r="N35" s="144">
        <f t="shared" si="27"/>
        <v>4.8454825495649665</v>
      </c>
      <c r="O35" s="144">
        <f t="shared" si="27"/>
        <v>4.6722565484180185</v>
      </c>
      <c r="P35" s="144">
        <f t="shared" si="27"/>
        <v>4.505223376812074</v>
      </c>
      <c r="Q35" s="144">
        <f t="shared" si="27"/>
        <v>4.3441616410910413</v>
      </c>
      <c r="R35" s="144">
        <f t="shared" si="27"/>
        <v>4.1888578624220347</v>
      </c>
      <c r="S35" s="144">
        <f t="shared" si="27"/>
        <v>4.039106193840448</v>
      </c>
      <c r="T35" s="144">
        <f t="shared" si="27"/>
        <v>3.8947081474106513</v>
      </c>
      <c r="U35" s="144">
        <f t="shared" si="27"/>
        <v>3.7554723311407203</v>
      </c>
      <c r="V35" s="144">
        <f t="shared" si="27"/>
        <v>3.6212141953024379</v>
      </c>
    </row>
    <row r="36" spans="1:22" ht="15.5" x14ac:dyDescent="0.35">
      <c r="A36" t="s">
        <v>28</v>
      </c>
      <c r="B36" s="144">
        <f>B17*$W$17/1000</f>
        <v>17.5</v>
      </c>
      <c r="C36" s="144">
        <f>C17*$W$17/1000*AD3</f>
        <v>16.874374999999993</v>
      </c>
      <c r="D36" s="144">
        <f t="shared" ref="D36:V36" si="28">D17*$W$17/1000*AE3</f>
        <v>16.271116093749995</v>
      </c>
      <c r="E36" s="144">
        <f t="shared" si="28"/>
        <v>15.689423693398426</v>
      </c>
      <c r="F36" s="144">
        <f t="shared" si="28"/>
        <v>15.128526796359429</v>
      </c>
      <c r="G36" s="144">
        <f t="shared" si="28"/>
        <v>14.58768196338958</v>
      </c>
      <c r="H36" s="144">
        <f t="shared" si="28"/>
        <v>14.066172333198399</v>
      </c>
      <c r="I36" s="144">
        <f t="shared" si="28"/>
        <v>13.563306672286554</v>
      </c>
      <c r="J36" s="144">
        <f t="shared" si="28"/>
        <v>13.078418458752306</v>
      </c>
      <c r="K36" s="144">
        <f t="shared" si="28"/>
        <v>12.610864998851913</v>
      </c>
      <c r="L36" s="144">
        <f t="shared" si="28"/>
        <v>12.160026575142954</v>
      </c>
      <c r="M36" s="144">
        <f t="shared" si="28"/>
        <v>11.725305625081589</v>
      </c>
      <c r="N36" s="144">
        <f t="shared" si="28"/>
        <v>11.306125948984921</v>
      </c>
      <c r="O36" s="144">
        <f t="shared" si="28"/>
        <v>10.901931946308709</v>
      </c>
      <c r="P36" s="144">
        <f t="shared" si="28"/>
        <v>10.512187879228172</v>
      </c>
      <c r="Q36" s="144">
        <f t="shared" si="28"/>
        <v>10.136377162545763</v>
      </c>
      <c r="R36" s="144">
        <f t="shared" si="28"/>
        <v>9.7740016789847495</v>
      </c>
      <c r="S36" s="144">
        <f t="shared" si="28"/>
        <v>9.4245811189610453</v>
      </c>
      <c r="T36" s="144">
        <f t="shared" si="28"/>
        <v>9.0876523439581849</v>
      </c>
      <c r="U36" s="144">
        <f t="shared" si="28"/>
        <v>8.7627687726616799</v>
      </c>
      <c r="V36" s="144">
        <f t="shared" si="28"/>
        <v>8.4494997890390238</v>
      </c>
    </row>
    <row r="37" spans="1:22" ht="15.5" x14ac:dyDescent="0.35">
      <c r="A37" t="s">
        <v>29</v>
      </c>
      <c r="B37" s="339">
        <f>'WAN FAN Wi-Fi'!G106*0.02/0.98</f>
        <v>6.0549954381752702</v>
      </c>
      <c r="C37" s="339">
        <f>'WAN FAN Wi-Fi'!H106*0.02/0.98</f>
        <v>6.2020873930612241</v>
      </c>
      <c r="D37" s="339">
        <f>'WAN FAN Wi-Fi'!I106*0.02/0.98</f>
        <v>6.3722541656206477</v>
      </c>
      <c r="E37" s="339">
        <f>'WAN FAN Wi-Fi'!J106*0.02/0.98</f>
        <v>5.7364744988663192</v>
      </c>
      <c r="F37" s="339">
        <f>'WAN FAN Wi-Fi'!K106*0.02/0.98</f>
        <v>5.1917677964278131</v>
      </c>
      <c r="G37" s="339">
        <f>'WAN FAN Wi-Fi'!L106*0.02/0.98</f>
        <v>4.7195946800423441</v>
      </c>
      <c r="H37" s="339">
        <f>'WAN FAN Wi-Fi'!M106*0.02/0.98</f>
        <v>4.3077037769002988</v>
      </c>
      <c r="I37" s="339">
        <f>'WAN FAN Wi-Fi'!N106*0.02/0.98</f>
        <v>3.9357060630748006</v>
      </c>
      <c r="J37" s="339">
        <f>'WAN FAN Wi-Fi'!O106*0.02/0.98</f>
        <v>3.6735242842147375</v>
      </c>
      <c r="K37" s="339">
        <f>'WAN FAN Wi-Fi'!P106*0.02/0.98</f>
        <v>3.4424292228727773</v>
      </c>
      <c r="L37" s="339">
        <f>'WAN FAN Wi-Fi'!Q106*0.02/0.98</f>
        <v>3.2552530520001497</v>
      </c>
      <c r="M37" s="339">
        <f>'WAN FAN Wi-Fi'!R106*0.02/0.98</f>
        <v>3.0556563665243153</v>
      </c>
      <c r="N37" s="339">
        <f>'WAN FAN Wi-Fi'!S106*0.02/0.98</f>
        <v>3.0643235250198941</v>
      </c>
      <c r="O37" s="339">
        <f>'WAN FAN Wi-Fi'!T106*0.02/0.98</f>
        <v>3.0911442173170491</v>
      </c>
      <c r="P37" s="339">
        <f>'WAN FAN Wi-Fi'!U106*0.02/0.98</f>
        <v>3.2088273125073927</v>
      </c>
      <c r="Q37" s="339">
        <f>'WAN FAN Wi-Fi'!V106*0.02/0.98</f>
        <v>3.4045579570172744</v>
      </c>
      <c r="R37" s="339">
        <f>'WAN FAN Wi-Fi'!W106*0.02/0.98</f>
        <v>3.9272400390064703</v>
      </c>
      <c r="S37" s="339">
        <f>'WAN FAN Wi-Fi'!X106*0.02/0.98</f>
        <v>4.6039710067017738</v>
      </c>
      <c r="T37" s="339">
        <f>'WAN FAN Wi-Fi'!Y106*0.02/0.98</f>
        <v>5.4450540935266298</v>
      </c>
      <c r="U37" s="339">
        <f>'WAN FAN Wi-Fi'!Z106*0.02/0.98</f>
        <v>6.5837009748845343</v>
      </c>
      <c r="V37" s="339">
        <f>'WAN FAN Wi-Fi'!AA106*0.02/0.98</f>
        <v>8.1481930993916425</v>
      </c>
    </row>
    <row r="38" spans="1:22" ht="15.5" x14ac:dyDescent="0.35">
      <c r="A38" t="s">
        <v>30</v>
      </c>
      <c r="B38" s="339">
        <f>DataCenters!F7*0.02/0.98</f>
        <v>3.8650775510204092</v>
      </c>
      <c r="C38" s="339">
        <f>DataCenters!G7*0.02/0.98</f>
        <v>4.0625632653061228</v>
      </c>
      <c r="D38" s="339">
        <f>DataCenters!H7*0.02/0.98</f>
        <v>4.6945175510204082</v>
      </c>
      <c r="E38" s="339">
        <f>DataCenters!I7*0.02/0.98</f>
        <v>4.4778475102040822</v>
      </c>
      <c r="F38" s="339">
        <f>DataCenters!J7*0.02/0.98</f>
        <v>4.4062019500408161</v>
      </c>
      <c r="G38" s="339">
        <f>DataCenters!K7*0.02/0.98</f>
        <v>4.3357027188401629</v>
      </c>
      <c r="H38" s="339">
        <f>DataCenters!L7*0.02/0.98</f>
        <v>4.2663314753387205</v>
      </c>
      <c r="I38" s="339">
        <f>DataCenters!M7*0.02/0.98</f>
        <v>4.1980701717333009</v>
      </c>
      <c r="J38" s="339">
        <f>DataCenters!N7*0.02/0.98</f>
        <v>4.1309010489855691</v>
      </c>
      <c r="K38" s="339">
        <f>DataCenters!O7*0.02/0.98</f>
        <v>4.0648066322018002</v>
      </c>
      <c r="L38" s="339">
        <f>DataCenters!P7*0.02/0.98</f>
        <v>3.9997697260865714</v>
      </c>
      <c r="M38" s="339">
        <f>DataCenters!Q7*0.02/0.98</f>
        <v>3.9357734104691873</v>
      </c>
      <c r="N38" s="339">
        <f>DataCenters!R7*0.02/0.98</f>
        <v>3.9212110488504508</v>
      </c>
      <c r="O38" s="339">
        <f>DataCenters!S7*0.02/0.98</f>
        <v>3.9549334638705647</v>
      </c>
      <c r="P38" s="339">
        <f>DataCenters!T7*0.02/0.98</f>
        <v>4.037591573265459</v>
      </c>
      <c r="Q38" s="339">
        <f>DataCenters!U7*0.02/0.98</f>
        <v>4.1716396134978719</v>
      </c>
      <c r="R38" s="339">
        <f>DataCenters!V7*0.02/0.98</f>
        <v>4.5153827176500965</v>
      </c>
      <c r="S38" s="339">
        <f>DataCenters!W7*0.02/0.98</f>
        <v>4.9985286684386567</v>
      </c>
      <c r="T38" s="339">
        <f>DataCenters!X7*0.02/0.98</f>
        <v>5.5948531385833888</v>
      </c>
      <c r="U38" s="339">
        <f>DataCenters!Y7*0.02/0.98</f>
        <v>6.3999525052255386</v>
      </c>
      <c r="V38" s="339">
        <f>DataCenters!Z7*0.02/0.98</f>
        <v>7.478344502356042</v>
      </c>
    </row>
    <row r="39" spans="1:22" x14ac:dyDescent="0.3">
      <c r="B39" s="18"/>
      <c r="C39" s="145"/>
      <c r="D39" s="145"/>
      <c r="E39" s="145"/>
      <c r="F39" s="145"/>
      <c r="G39" s="145"/>
      <c r="H39" s="145"/>
      <c r="I39" s="145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x14ac:dyDescent="0.3">
      <c r="B40" s="18"/>
      <c r="C40" s="145"/>
      <c r="D40" s="145"/>
      <c r="E40" s="145"/>
      <c r="F40" s="145"/>
      <c r="G40" s="145"/>
      <c r="H40" s="145"/>
      <c r="I40" s="145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s="64" customFormat="1" ht="15" x14ac:dyDescent="0.3">
      <c r="A41" s="67" t="s">
        <v>31</v>
      </c>
      <c r="B41" s="68">
        <f>SUM(B24:B38)</f>
        <v>190.34407298919569</v>
      </c>
      <c r="C41" s="68">
        <f t="shared" ref="C41:V41" si="29">SUM(C24:C38)</f>
        <v>191.7131544083673</v>
      </c>
      <c r="D41" s="68">
        <f t="shared" si="29"/>
        <v>196.37195370757857</v>
      </c>
      <c r="E41" s="68">
        <f t="shared" si="29"/>
        <v>201.84949930120683</v>
      </c>
      <c r="F41" s="68">
        <f t="shared" si="29"/>
        <v>206.31892103747504</v>
      </c>
      <c r="G41" s="68">
        <f t="shared" si="29"/>
        <v>213.68581834688101</v>
      </c>
      <c r="H41" s="68">
        <f t="shared" si="29"/>
        <v>215.19442612624422</v>
      </c>
      <c r="I41" s="68">
        <f t="shared" si="29"/>
        <v>217.74369986750409</v>
      </c>
      <c r="J41" s="68">
        <f t="shared" si="29"/>
        <v>221.51625465840661</v>
      </c>
      <c r="K41" s="68">
        <f t="shared" si="29"/>
        <v>226.56408155507754</v>
      </c>
      <c r="L41" s="68">
        <f t="shared" si="29"/>
        <v>229.08992631802354</v>
      </c>
      <c r="M41" s="68">
        <f t="shared" si="29"/>
        <v>213.45034159517397</v>
      </c>
      <c r="N41" s="68">
        <f t="shared" si="29"/>
        <v>200.05831638591664</v>
      </c>
      <c r="O41" s="68">
        <f t="shared" si="29"/>
        <v>188.47234129521732</v>
      </c>
      <c r="P41" s="68">
        <f t="shared" si="29"/>
        <v>178.55712461896104</v>
      </c>
      <c r="Q41" s="68">
        <f t="shared" si="29"/>
        <v>170.12855461628834</v>
      </c>
      <c r="R41" s="68">
        <f t="shared" si="29"/>
        <v>163.44986113487138</v>
      </c>
      <c r="S41" s="68">
        <f t="shared" si="29"/>
        <v>158.15936268195978</v>
      </c>
      <c r="T41" s="68">
        <f t="shared" si="29"/>
        <v>154.14458154331402</v>
      </c>
      <c r="U41" s="68">
        <f t="shared" si="29"/>
        <v>151.55674371153464</v>
      </c>
      <c r="V41" s="68">
        <f t="shared" si="29"/>
        <v>150.52759980747419</v>
      </c>
    </row>
    <row r="44" spans="1:22" ht="14.5" x14ac:dyDescent="0.35">
      <c r="A44" s="31" t="s">
        <v>32</v>
      </c>
      <c r="B44" s="31"/>
      <c r="C44" s="31"/>
    </row>
    <row r="45" spans="1:22" ht="14.5" x14ac:dyDescent="0.35">
      <c r="A45" s="27"/>
      <c r="B45">
        <v>2010</v>
      </c>
      <c r="C45" s="146">
        <v>2011</v>
      </c>
      <c r="D45">
        <v>2012</v>
      </c>
      <c r="E45" s="146">
        <v>2013</v>
      </c>
      <c r="F45">
        <v>2014</v>
      </c>
      <c r="G45" s="146">
        <v>2015</v>
      </c>
      <c r="H45">
        <v>2016</v>
      </c>
      <c r="I45" s="146">
        <v>2017</v>
      </c>
      <c r="J45" s="146">
        <v>2018</v>
      </c>
      <c r="K45" s="146">
        <v>2019</v>
      </c>
      <c r="L45" s="146">
        <v>2020</v>
      </c>
      <c r="M45" s="7">
        <v>2021</v>
      </c>
      <c r="N45" s="7">
        <v>2022</v>
      </c>
      <c r="O45" s="7">
        <v>2023</v>
      </c>
      <c r="P45" s="7">
        <v>2024</v>
      </c>
      <c r="Q45" s="7">
        <v>2025</v>
      </c>
      <c r="R45" s="7">
        <v>2026</v>
      </c>
      <c r="S45" s="7">
        <v>2027</v>
      </c>
      <c r="T45" s="7">
        <v>2028</v>
      </c>
      <c r="U45" s="7">
        <v>2029</v>
      </c>
      <c r="V45" s="7">
        <v>2030</v>
      </c>
    </row>
    <row r="46" spans="1:22" ht="15.5" x14ac:dyDescent="0.35">
      <c r="A46" s="24" t="s">
        <v>19</v>
      </c>
      <c r="B46" s="143">
        <f>B3*$X$3/1000</f>
        <v>31.39</v>
      </c>
      <c r="C46" s="143">
        <f t="shared" ref="C46:V46" si="30">C3*$X$3/1000*AD4</f>
        <v>30.865400000000001</v>
      </c>
      <c r="D46" s="143">
        <f t="shared" si="30"/>
        <v>30.546318500000002</v>
      </c>
      <c r="E46" s="143">
        <f t="shared" si="30"/>
        <v>29.037330366099994</v>
      </c>
      <c r="F46" s="143">
        <f t="shared" si="30"/>
        <v>27.602886246014656</v>
      </c>
      <c r="G46" s="143">
        <f t="shared" si="30"/>
        <v>26.239303665461531</v>
      </c>
      <c r="H46" s="143">
        <f t="shared" si="30"/>
        <v>24.943082064387731</v>
      </c>
      <c r="I46" s="143">
        <f t="shared" si="30"/>
        <v>23.710893810406972</v>
      </c>
      <c r="J46" s="143">
        <f t="shared" si="30"/>
        <v>22.539575656172868</v>
      </c>
      <c r="K46" s="143">
        <f t="shared" si="30"/>
        <v>21.426120618757928</v>
      </c>
      <c r="L46" s="143">
        <f t="shared" si="30"/>
        <v>20.367670260191286</v>
      </c>
      <c r="M46" s="143">
        <f t="shared" si="30"/>
        <v>19.361507349337838</v>
      </c>
      <c r="N46" s="143">
        <f t="shared" si="30"/>
        <v>18.40504888628055</v>
      </c>
      <c r="O46" s="143">
        <f t="shared" si="30"/>
        <v>17.495839471298297</v>
      </c>
      <c r="P46" s="143">
        <f t="shared" si="30"/>
        <v>16.631545001416164</v>
      </c>
      <c r="Q46" s="143">
        <f t="shared" si="30"/>
        <v>15.809946678346204</v>
      </c>
      <c r="R46" s="143">
        <f t="shared" si="30"/>
        <v>15.028935312435904</v>
      </c>
      <c r="S46" s="143">
        <f t="shared" si="30"/>
        <v>14.286505908001571</v>
      </c>
      <c r="T46" s="143">
        <f t="shared" si="30"/>
        <v>13.580752516146292</v>
      </c>
      <c r="U46" s="143">
        <f t="shared" si="30"/>
        <v>12.909863341848668</v>
      </c>
      <c r="V46" s="143">
        <f t="shared" si="30"/>
        <v>12.272116092761344</v>
      </c>
    </row>
    <row r="47" spans="1:22" ht="15.5" x14ac:dyDescent="0.35">
      <c r="A47" s="24" t="s">
        <v>20</v>
      </c>
      <c r="B47" s="143">
        <f>B4*$X$4/1000</f>
        <v>43.415999999999997</v>
      </c>
      <c r="C47" s="143">
        <f t="shared" ref="C47:V47" si="31">C4*$X$4/1000*AD4</f>
        <v>42.8934</v>
      </c>
      <c r="D47" s="143">
        <f t="shared" si="31"/>
        <v>42.615242799999997</v>
      </c>
      <c r="E47" s="143">
        <f t="shared" si="31"/>
        <v>40.510049805680005</v>
      </c>
      <c r="F47" s="143">
        <f t="shared" si="31"/>
        <v>38.508853345279405</v>
      </c>
      <c r="G47" s="143">
        <f t="shared" si="31"/>
        <v>36.606515990022601</v>
      </c>
      <c r="H47" s="143">
        <f t="shared" si="31"/>
        <v>34.798154100115489</v>
      </c>
      <c r="I47" s="143">
        <f t="shared" si="31"/>
        <v>33.079125287569781</v>
      </c>
      <c r="J47" s="143">
        <f t="shared" si="31"/>
        <v>31.445016498363838</v>
      </c>
      <c r="K47" s="143">
        <f t="shared" si="31"/>
        <v>29.89163268334466</v>
      </c>
      <c r="L47" s="143">
        <f t="shared" si="31"/>
        <v>28.414986028787428</v>
      </c>
      <c r="M47" s="143">
        <f t="shared" si="31"/>
        <v>27.011285718965336</v>
      </c>
      <c r="N47" s="143">
        <f t="shared" si="31"/>
        <v>25.676928204448448</v>
      </c>
      <c r="O47" s="143">
        <f t="shared" si="31"/>
        <v>24.40848795114869</v>
      </c>
      <c r="P47" s="143">
        <f t="shared" si="31"/>
        <v>23.202708646361938</v>
      </c>
      <c r="Q47" s="143">
        <f t="shared" si="31"/>
        <v>22.056494839231657</v>
      </c>
      <c r="R47" s="143">
        <f t="shared" si="31"/>
        <v>20.966903994173613</v>
      </c>
      <c r="S47" s="143">
        <f t="shared" si="31"/>
        <v>19.931138936861434</v>
      </c>
      <c r="T47" s="143">
        <f t="shared" si="31"/>
        <v>18.946540673380479</v>
      </c>
      <c r="U47" s="143">
        <f t="shared" si="31"/>
        <v>18.01058156411548</v>
      </c>
      <c r="V47" s="143">
        <f t="shared" si="31"/>
        <v>17.120858834848171</v>
      </c>
    </row>
    <row r="48" spans="1:22" ht="15.5" x14ac:dyDescent="0.35">
      <c r="A48" s="24" t="s">
        <v>21</v>
      </c>
      <c r="B48" s="143">
        <f>B5*$X$5/1000</f>
        <v>33.567</v>
      </c>
      <c r="C48" s="143">
        <f t="shared" ref="C48:V48" si="32">C5*$X$5/1000*AD4</f>
        <v>34.827849999999998</v>
      </c>
      <c r="D48" s="143">
        <f t="shared" si="32"/>
        <v>38.6540538</v>
      </c>
      <c r="E48" s="143">
        <f t="shared" si="32"/>
        <v>43.286255043999994</v>
      </c>
      <c r="F48" s="143">
        <f t="shared" si="32"/>
        <v>49.084174557639997</v>
      </c>
      <c r="G48" s="143">
        <f t="shared" si="32"/>
        <v>55.068895600089597</v>
      </c>
      <c r="H48" s="143">
        <f t="shared" si="32"/>
        <v>61.624101896652341</v>
      </c>
      <c r="I48" s="143">
        <f t="shared" si="32"/>
        <v>68.959616734402289</v>
      </c>
      <c r="J48" s="143">
        <f t="shared" si="32"/>
        <v>77.16832527848959</v>
      </c>
      <c r="K48" s="143">
        <f t="shared" si="32"/>
        <v>86.354169415155624</v>
      </c>
      <c r="L48" s="143">
        <f t="shared" si="32"/>
        <v>96.633463904652373</v>
      </c>
      <c r="M48" s="143">
        <f t="shared" si="32"/>
        <v>78.736946389510749</v>
      </c>
      <c r="N48" s="143">
        <f t="shared" si="32"/>
        <v>64.154863918173348</v>
      </c>
      <c r="O48" s="143">
        <f t="shared" si="32"/>
        <v>52.273383120527626</v>
      </c>
      <c r="P48" s="143">
        <f t="shared" si="32"/>
        <v>42.592352566605904</v>
      </c>
      <c r="Q48" s="143">
        <f t="shared" si="32"/>
        <v>34.70424887127048</v>
      </c>
      <c r="R48" s="143">
        <f t="shared" si="32"/>
        <v>28.277021980311179</v>
      </c>
      <c r="S48" s="143">
        <f t="shared" si="32"/>
        <v>23.040117509557543</v>
      </c>
      <c r="T48" s="143">
        <f t="shared" si="32"/>
        <v>18.773087746787485</v>
      </c>
      <c r="U48" s="143">
        <f t="shared" si="32"/>
        <v>15.29631189608244</v>
      </c>
      <c r="V48" s="143">
        <f t="shared" si="32"/>
        <v>12.463434932927971</v>
      </c>
    </row>
    <row r="49" spans="1:22" ht="15.5" x14ac:dyDescent="0.35">
      <c r="A49" s="24" t="s">
        <v>22</v>
      </c>
      <c r="B49" s="143">
        <f>B6*$X$6/1000</f>
        <v>14</v>
      </c>
      <c r="C49" s="143">
        <f t="shared" ref="C49:V49" si="33">C6*$X$6/1000*AD4</f>
        <v>17.847999999999999</v>
      </c>
      <c r="D49" s="143">
        <f t="shared" si="33"/>
        <v>26.345199999999998</v>
      </c>
      <c r="E49" s="143">
        <f t="shared" si="33"/>
        <v>32.856228000000002</v>
      </c>
      <c r="F49" s="143">
        <f t="shared" si="33"/>
        <v>41.608762069999997</v>
      </c>
      <c r="G49" s="143">
        <f t="shared" si="33"/>
        <v>47.745611828919998</v>
      </c>
      <c r="H49" s="143">
        <f t="shared" si="33"/>
        <v>48.628905647755019</v>
      </c>
      <c r="I49" s="143">
        <f t="shared" si="33"/>
        <v>49.528540402238491</v>
      </c>
      <c r="J49" s="143">
        <f t="shared" si="33"/>
        <v>50.444818399679896</v>
      </c>
      <c r="K49" s="143">
        <f t="shared" si="33"/>
        <v>51.378047540073972</v>
      </c>
      <c r="L49" s="143">
        <f t="shared" si="33"/>
        <v>52.32854141956534</v>
      </c>
      <c r="M49" s="143">
        <f t="shared" si="33"/>
        <v>50.757787563130165</v>
      </c>
      <c r="N49" s="143">
        <f t="shared" si="33"/>
        <v>49.235053936236262</v>
      </c>
      <c r="O49" s="143">
        <f t="shared" si="33"/>
        <v>47.758002318149181</v>
      </c>
      <c r="P49" s="143">
        <f t="shared" si="33"/>
        <v>46.325262248604702</v>
      </c>
      <c r="Q49" s="143">
        <f t="shared" si="33"/>
        <v>44.935504381146558</v>
      </c>
      <c r="R49" s="143">
        <f t="shared" si="33"/>
        <v>43.587439249712162</v>
      </c>
      <c r="S49" s="143">
        <f t="shared" si="33"/>
        <v>42.279816072220797</v>
      </c>
      <c r="T49" s="143">
        <f t="shared" si="33"/>
        <v>41.011421590054177</v>
      </c>
      <c r="U49" s="143">
        <f t="shared" si="33"/>
        <v>39.781078942352551</v>
      </c>
      <c r="V49" s="143">
        <f t="shared" si="33"/>
        <v>38.587646574081973</v>
      </c>
    </row>
    <row r="50" spans="1:22" ht="15.5" x14ac:dyDescent="0.35">
      <c r="A50" s="24" t="s">
        <v>23</v>
      </c>
      <c r="B50" s="143">
        <f>B7*$X$7/1000</f>
        <v>3.75</v>
      </c>
      <c r="C50" s="143">
        <f t="shared" ref="C50:V50" si="34">C7*$X$7/1000*AD4</f>
        <v>7.2749999999999995</v>
      </c>
      <c r="D50" s="143">
        <f t="shared" si="34"/>
        <v>10.585125</v>
      </c>
      <c r="E50" s="143">
        <f t="shared" si="34"/>
        <v>14.169248325</v>
      </c>
      <c r="F50" s="143">
        <f t="shared" si="34"/>
        <v>16.997621951999999</v>
      </c>
      <c r="G50" s="143">
        <f t="shared" si="34"/>
        <v>20.674021668727498</v>
      </c>
      <c r="H50" s="143">
        <f t="shared" si="34"/>
        <v>23.061871171465526</v>
      </c>
      <c r="I50" s="143">
        <f t="shared" si="34"/>
        <v>25.725517291769787</v>
      </c>
      <c r="J50" s="143">
        <f t="shared" si="34"/>
        <v>28.696814538969193</v>
      </c>
      <c r="K50" s="143">
        <f t="shared" si="34"/>
        <v>32.011296618220129</v>
      </c>
      <c r="L50" s="143">
        <f t="shared" si="34"/>
        <v>31.027120139104102</v>
      </c>
      <c r="M50" s="143">
        <f t="shared" si="34"/>
        <v>30.096306534930978</v>
      </c>
      <c r="N50" s="143">
        <f t="shared" si="34"/>
        <v>29.193417338883048</v>
      </c>
      <c r="O50" s="143">
        <f t="shared" si="34"/>
        <v>28.317614818716557</v>
      </c>
      <c r="P50" s="143">
        <f t="shared" si="34"/>
        <v>27.46808637415506</v>
      </c>
      <c r="Q50" s="143">
        <f t="shared" si="34"/>
        <v>26.64404378293041</v>
      </c>
      <c r="R50" s="143">
        <f t="shared" si="34"/>
        <v>25.844722469442498</v>
      </c>
      <c r="S50" s="143">
        <f t="shared" si="34"/>
        <v>25.069380795359223</v>
      </c>
      <c r="T50" s="143">
        <f t="shared" si="34"/>
        <v>24.317299371498446</v>
      </c>
      <c r="U50" s="143">
        <f t="shared" si="34"/>
        <v>23.58778039035349</v>
      </c>
      <c r="V50" s="143">
        <f t="shared" si="34"/>
        <v>22.880146978642887</v>
      </c>
    </row>
    <row r="51" spans="1:22" ht="15.5" x14ac:dyDescent="0.35">
      <c r="A51" s="24" t="s">
        <v>39</v>
      </c>
      <c r="B51" s="143">
        <f>B8*$X$8/1000</f>
        <v>15</v>
      </c>
      <c r="C51" s="143">
        <f t="shared" ref="C51:V51" si="35">C8*$X$8/1000*AD4</f>
        <v>14.666399999999999</v>
      </c>
      <c r="D51" s="143">
        <f t="shared" si="35"/>
        <v>11.85534</v>
      </c>
      <c r="E51" s="143">
        <f t="shared" si="35"/>
        <v>9.9225808559999997</v>
      </c>
      <c r="F51" s="143">
        <f t="shared" si="35"/>
        <v>6.2997436359599996</v>
      </c>
      <c r="G51" s="143">
        <f t="shared" si="35"/>
        <v>7.8728735476175986</v>
      </c>
      <c r="H51" s="143">
        <f t="shared" si="35"/>
        <v>7.2548529741296166</v>
      </c>
      <c r="I51" s="143">
        <f t="shared" si="35"/>
        <v>6.6853470156604411</v>
      </c>
      <c r="J51" s="143">
        <f t="shared" si="35"/>
        <v>6.1605472749310968</v>
      </c>
      <c r="K51" s="143">
        <f t="shared" si="35"/>
        <v>5.6769443138490043</v>
      </c>
      <c r="L51" s="143">
        <f t="shared" si="35"/>
        <v>5.2313041852118563</v>
      </c>
      <c r="M51" s="143">
        <f t="shared" si="35"/>
        <v>4.8206468066727259</v>
      </c>
      <c r="N51" s="143">
        <f t="shared" si="35"/>
        <v>4.4422260323489171</v>
      </c>
      <c r="O51" s="143">
        <f t="shared" si="35"/>
        <v>4.0935112888095269</v>
      </c>
      <c r="P51" s="143">
        <f t="shared" si="35"/>
        <v>3.7721706526379779</v>
      </c>
      <c r="Q51" s="143">
        <f t="shared" si="35"/>
        <v>3.4760552564058975</v>
      </c>
      <c r="R51" s="143">
        <f t="shared" si="35"/>
        <v>3.2031849187780344</v>
      </c>
      <c r="S51" s="143">
        <f t="shared" si="35"/>
        <v>2.9517349026539583</v>
      </c>
      <c r="T51" s="143">
        <f t="shared" si="35"/>
        <v>2.7200237127956224</v>
      </c>
      <c r="U51" s="143">
        <f t="shared" si="35"/>
        <v>2.5065018513411661</v>
      </c>
      <c r="V51" s="143">
        <f t="shared" si="35"/>
        <v>2.3097414560108835</v>
      </c>
    </row>
    <row r="52" spans="1:22" ht="15.5" x14ac:dyDescent="0.35">
      <c r="A52" s="24" t="s">
        <v>62</v>
      </c>
      <c r="B52" s="143">
        <f>B9*$X$9/1000</f>
        <v>0</v>
      </c>
      <c r="C52" s="143">
        <f t="shared" ref="C52:V52" si="36">C9*$X$9/1000*AD4</f>
        <v>0</v>
      </c>
      <c r="D52" s="143">
        <f t="shared" si="36"/>
        <v>0.56453999999999993</v>
      </c>
      <c r="E52" s="143">
        <f t="shared" si="36"/>
        <v>2.738019</v>
      </c>
      <c r="F52" s="143">
        <f t="shared" si="36"/>
        <v>5.3117568599999991</v>
      </c>
      <c r="G52" s="143">
        <f t="shared" si="36"/>
        <v>7.3851126210199824</v>
      </c>
      <c r="H52" s="143">
        <f t="shared" si="36"/>
        <v>9.4125836556976825</v>
      </c>
      <c r="I52" s="143">
        <f t="shared" si="36"/>
        <v>11.311759826935804</v>
      </c>
      <c r="J52" s="143">
        <f t="shared" si="36"/>
        <v>13.088514102609507</v>
      </c>
      <c r="K52" s="143">
        <f t="shared" si="36"/>
        <v>14.748482537898544</v>
      </c>
      <c r="L52" s="143">
        <f t="shared" si="36"/>
        <v>16.297073204377895</v>
      </c>
      <c r="M52" s="143">
        <f t="shared" si="36"/>
        <v>18.337466769566003</v>
      </c>
      <c r="N52" s="143">
        <f t="shared" si="36"/>
        <v>20.633317609115668</v>
      </c>
      <c r="O52" s="143">
        <f t="shared" si="36"/>
        <v>23.216608973776953</v>
      </c>
      <c r="P52" s="143">
        <f t="shared" si="36"/>
        <v>26.123328417293823</v>
      </c>
      <c r="Q52" s="143">
        <f t="shared" si="36"/>
        <v>29.393969135139006</v>
      </c>
      <c r="R52" s="143">
        <f t="shared" si="36"/>
        <v>33.074094070858408</v>
      </c>
      <c r="S52" s="143">
        <f t="shared" si="36"/>
        <v>37.214970648529871</v>
      </c>
      <c r="T52" s="143">
        <f t="shared" si="36"/>
        <v>41.874284973725814</v>
      </c>
      <c r="U52" s="143">
        <f t="shared" si="36"/>
        <v>47.116945452436276</v>
      </c>
      <c r="V52" s="143">
        <f t="shared" si="36"/>
        <v>53.015987023081294</v>
      </c>
    </row>
    <row r="53" spans="1:22" ht="15.5" x14ac:dyDescent="0.35">
      <c r="A53" s="24" t="s">
        <v>24</v>
      </c>
      <c r="B53" s="143">
        <f>B13*$X$13/1000</f>
        <v>125</v>
      </c>
      <c r="C53" s="143">
        <f>C13*$X$13/1000*AD4</f>
        <v>123.06874999999998</v>
      </c>
      <c r="D53" s="143">
        <f t="shared" ref="D53:V53" si="37">D13*$X$13/1000*AE4</f>
        <v>121.16733781249995</v>
      </c>
      <c r="E53" s="143">
        <f t="shared" si="37"/>
        <v>119.29530244329682</v>
      </c>
      <c r="F53" s="143">
        <f t="shared" si="37"/>
        <v>117.45219002054783</v>
      </c>
      <c r="G53" s="143">
        <f t="shared" si="37"/>
        <v>115.63755368473038</v>
      </c>
      <c r="H53" s="143">
        <f t="shared" si="37"/>
        <v>113.85095348030129</v>
      </c>
      <c r="I53" s="143">
        <f t="shared" si="37"/>
        <v>112.09195624903062</v>
      </c>
      <c r="J53" s="143">
        <f t="shared" si="37"/>
        <v>110.36013552498308</v>
      </c>
      <c r="K53" s="143">
        <f t="shared" si="37"/>
        <v>108.65507143112208</v>
      </c>
      <c r="L53" s="143">
        <f t="shared" si="37"/>
        <v>106.97635057751123</v>
      </c>
      <c r="M53" s="143">
        <f t="shared" si="37"/>
        <v>105.32356596108866</v>
      </c>
      <c r="N53" s="143">
        <f t="shared" si="37"/>
        <v>103.69631686698983</v>
      </c>
      <c r="O53" s="143">
        <f t="shared" si="37"/>
        <v>102.09420877139485</v>
      </c>
      <c r="P53" s="143">
        <f t="shared" si="37"/>
        <v>100.51685324587679</v>
      </c>
      <c r="Q53" s="143">
        <f t="shared" si="37"/>
        <v>98.963867863227975</v>
      </c>
      <c r="R53" s="143">
        <f t="shared" si="37"/>
        <v>97.434876104741093</v>
      </c>
      <c r="S53" s="143">
        <f t="shared" si="37"/>
        <v>95.929507268922848</v>
      </c>
      <c r="T53" s="143">
        <f t="shared" si="37"/>
        <v>94.447396381617978</v>
      </c>
      <c r="U53" s="143">
        <f t="shared" si="37"/>
        <v>92.988184107521974</v>
      </c>
      <c r="V53" s="143">
        <f t="shared" si="37"/>
        <v>91.551516663060752</v>
      </c>
    </row>
    <row r="54" spans="1:22" ht="15.5" x14ac:dyDescent="0.35">
      <c r="A54" s="24" t="s">
        <v>25</v>
      </c>
      <c r="B54" s="143">
        <f>B14*$X$14/1000</f>
        <v>4.2750000000000004</v>
      </c>
      <c r="C54" s="143">
        <f>C14*$X$14/1000*AD4</f>
        <v>4.2089512500000001</v>
      </c>
      <c r="D54" s="143">
        <f t="shared" ref="D54:V54" si="38">D14*$X$14/1000*AE4</f>
        <v>4.1439229531874986</v>
      </c>
      <c r="E54" s="143">
        <f t="shared" si="38"/>
        <v>4.0798993435607507</v>
      </c>
      <c r="F54" s="143">
        <f t="shared" si="38"/>
        <v>4.0168648987027362</v>
      </c>
      <c r="G54" s="143">
        <f t="shared" si="38"/>
        <v>3.9548043360177783</v>
      </c>
      <c r="H54" s="143">
        <f t="shared" si="38"/>
        <v>3.8937026090263043</v>
      </c>
      <c r="I54" s="143">
        <f t="shared" si="38"/>
        <v>3.8335449037168474</v>
      </c>
      <c r="J54" s="143">
        <f t="shared" si="38"/>
        <v>3.7743166349544217</v>
      </c>
      <c r="K54" s="143">
        <f t="shared" si="38"/>
        <v>3.7160034429443751</v>
      </c>
      <c r="L54" s="143">
        <f t="shared" si="38"/>
        <v>3.6585911897508838</v>
      </c>
      <c r="M54" s="143">
        <f t="shared" si="38"/>
        <v>3.6020659558692327</v>
      </c>
      <c r="N54" s="143">
        <f t="shared" si="38"/>
        <v>3.5464140368510524</v>
      </c>
      <c r="O54" s="143">
        <f t="shared" si="38"/>
        <v>3.4916219399817039</v>
      </c>
      <c r="P54" s="143">
        <f t="shared" si="38"/>
        <v>3.4376763810089863</v>
      </c>
      <c r="Q54" s="143">
        <f t="shared" si="38"/>
        <v>3.3845642809223966</v>
      </c>
      <c r="R54" s="143">
        <f t="shared" si="38"/>
        <v>3.3322727627821451</v>
      </c>
      <c r="S54" s="143">
        <f t="shared" si="38"/>
        <v>3.2807891485971612</v>
      </c>
      <c r="T54" s="143">
        <f t="shared" si="38"/>
        <v>3.2301009562513352</v>
      </c>
      <c r="U54" s="143">
        <f t="shared" si="38"/>
        <v>3.1801958964772514</v>
      </c>
      <c r="V54" s="143">
        <f t="shared" si="38"/>
        <v>3.1310618698766777</v>
      </c>
    </row>
    <row r="55" spans="1:22" ht="15.5" x14ac:dyDescent="0.35">
      <c r="A55" s="24" t="s">
        <v>26</v>
      </c>
      <c r="B55" s="143">
        <f>B15*$X$14/1000</f>
        <v>2.25</v>
      </c>
      <c r="C55" s="143">
        <f>C15*$X$14/1000*AD4</f>
        <v>2.2152374999999997</v>
      </c>
      <c r="D55" s="143">
        <f t="shared" ref="D55:V55" si="39">D15*$X$14/1000*AE4</f>
        <v>2.1810120806249995</v>
      </c>
      <c r="E55" s="143">
        <f t="shared" si="39"/>
        <v>2.1473154439793425</v>
      </c>
      <c r="F55" s="143">
        <f t="shared" si="39"/>
        <v>2.1141394203698618</v>
      </c>
      <c r="G55" s="143">
        <f t="shared" si="39"/>
        <v>2.0814759663251468</v>
      </c>
      <c r="H55" s="143">
        <f t="shared" si="39"/>
        <v>2.0493171626454236</v>
      </c>
      <c r="I55" s="143">
        <f t="shared" si="39"/>
        <v>2.0176552124825511</v>
      </c>
      <c r="J55" s="143">
        <f t="shared" si="39"/>
        <v>1.9864824394496954</v>
      </c>
      <c r="K55" s="143">
        <f t="shared" si="39"/>
        <v>1.9557912857601971</v>
      </c>
      <c r="L55" s="143">
        <f t="shared" si="39"/>
        <v>1.9255743103952023</v>
      </c>
      <c r="M55" s="143">
        <f t="shared" si="39"/>
        <v>1.895824187299596</v>
      </c>
      <c r="N55" s="143">
        <f t="shared" si="39"/>
        <v>1.8665337036058169</v>
      </c>
      <c r="O55" s="143">
        <f t="shared" si="39"/>
        <v>1.8376957578851074</v>
      </c>
      <c r="P55" s="143">
        <f t="shared" si="39"/>
        <v>1.8093033584257825</v>
      </c>
      <c r="Q55" s="143">
        <f t="shared" si="39"/>
        <v>1.7813496215381037</v>
      </c>
      <c r="R55" s="143">
        <f t="shared" si="39"/>
        <v>1.7538277698853397</v>
      </c>
      <c r="S55" s="143">
        <f t="shared" si="39"/>
        <v>1.7267311308406113</v>
      </c>
      <c r="T55" s="143">
        <f t="shared" si="39"/>
        <v>1.7000531348691239</v>
      </c>
      <c r="U55" s="143">
        <f t="shared" si="39"/>
        <v>1.6737873139353956</v>
      </c>
      <c r="V55" s="143">
        <f t="shared" si="39"/>
        <v>1.6479272999350938</v>
      </c>
    </row>
    <row r="56" spans="1:22" ht="15.5" x14ac:dyDescent="0.35">
      <c r="A56" s="24" t="s">
        <v>27</v>
      </c>
      <c r="B56" s="143">
        <f>B16*$X$14/1000</f>
        <v>3.375</v>
      </c>
      <c r="C56" s="143">
        <f>C16*$X$14/1000*AD4</f>
        <v>3.3228562499999996</v>
      </c>
      <c r="D56" s="143">
        <f t="shared" ref="D56:V56" si="40">D16*$X$14/1000*AE4</f>
        <v>3.2715181209374986</v>
      </c>
      <c r="E56" s="143">
        <f t="shared" si="40"/>
        <v>3.2209731659690135</v>
      </c>
      <c r="F56" s="143">
        <f t="shared" si="40"/>
        <v>3.1712091305547916</v>
      </c>
      <c r="G56" s="143">
        <f t="shared" si="40"/>
        <v>3.1222139494877204</v>
      </c>
      <c r="H56" s="143">
        <f t="shared" si="40"/>
        <v>3.0739757439681346</v>
      </c>
      <c r="I56" s="143">
        <f t="shared" si="40"/>
        <v>3.0264828187238266</v>
      </c>
      <c r="J56" s="143">
        <f t="shared" si="40"/>
        <v>2.9797236591745428</v>
      </c>
      <c r="K56" s="143">
        <f t="shared" si="40"/>
        <v>2.933686928640296</v>
      </c>
      <c r="L56" s="143">
        <f t="shared" si="40"/>
        <v>2.8883614655928027</v>
      </c>
      <c r="M56" s="143">
        <f t="shared" si="40"/>
        <v>2.8437362809493938</v>
      </c>
      <c r="N56" s="143">
        <f t="shared" si="40"/>
        <v>2.7998005554087255</v>
      </c>
      <c r="O56" s="143">
        <f t="shared" si="40"/>
        <v>2.7565436368276606</v>
      </c>
      <c r="P56" s="143">
        <f t="shared" si="40"/>
        <v>2.713955037638673</v>
      </c>
      <c r="Q56" s="143">
        <f t="shared" si="40"/>
        <v>2.6720244323071558</v>
      </c>
      <c r="R56" s="143">
        <f t="shared" si="40"/>
        <v>2.6307416548280091</v>
      </c>
      <c r="S56" s="143">
        <f t="shared" si="40"/>
        <v>2.5900966962609164</v>
      </c>
      <c r="T56" s="143">
        <f t="shared" si="40"/>
        <v>2.5500797023036852</v>
      </c>
      <c r="U56" s="143">
        <f t="shared" si="40"/>
        <v>2.5106809709030928</v>
      </c>
      <c r="V56" s="143">
        <f t="shared" si="40"/>
        <v>2.4718909499026398</v>
      </c>
    </row>
    <row r="57" spans="1:22" ht="15.5" x14ac:dyDescent="0.35">
      <c r="A57" s="24" t="s">
        <v>28</v>
      </c>
      <c r="B57" s="143">
        <f>B17*$X$14/1000</f>
        <v>3.9375</v>
      </c>
      <c r="C57" s="143">
        <f>C17*$X$14/1000*AD4</f>
        <v>3.8766656249999993</v>
      </c>
      <c r="D57" s="143">
        <f t="shared" ref="D57:V57" si="41">D17*$X$14/1000*AE4</f>
        <v>3.8167711410937488</v>
      </c>
      <c r="E57" s="143">
        <f t="shared" si="41"/>
        <v>3.7578020269638492</v>
      </c>
      <c r="F57" s="143">
        <f t="shared" si="41"/>
        <v>3.6997439856472569</v>
      </c>
      <c r="G57" s="143">
        <f t="shared" si="41"/>
        <v>3.6425829410690072</v>
      </c>
      <c r="H57" s="143">
        <f t="shared" si="41"/>
        <v>3.5863050346294898</v>
      </c>
      <c r="I57" s="143">
        <f t="shared" si="41"/>
        <v>3.5308966218444642</v>
      </c>
      <c r="J57" s="143">
        <f t="shared" si="41"/>
        <v>3.476344269036967</v>
      </c>
      <c r="K57" s="143">
        <f t="shared" si="41"/>
        <v>3.4226347500803453</v>
      </c>
      <c r="L57" s="143">
        <f t="shared" si="41"/>
        <v>3.3697550431916037</v>
      </c>
      <c r="M57" s="143">
        <f t="shared" si="41"/>
        <v>3.3176923277742927</v>
      </c>
      <c r="N57" s="143">
        <f t="shared" si="41"/>
        <v>3.2664339813101795</v>
      </c>
      <c r="O57" s="143">
        <f t="shared" si="41"/>
        <v>3.2159675762989379</v>
      </c>
      <c r="P57" s="143">
        <f t="shared" si="41"/>
        <v>3.1662808772451188</v>
      </c>
      <c r="Q57" s="143">
        <f t="shared" si="41"/>
        <v>3.1173618376916816</v>
      </c>
      <c r="R57" s="143">
        <f t="shared" si="41"/>
        <v>3.0691985972993443</v>
      </c>
      <c r="S57" s="143">
        <f t="shared" si="41"/>
        <v>3.0217794789710695</v>
      </c>
      <c r="T57" s="143">
        <f t="shared" si="41"/>
        <v>2.9750929860209663</v>
      </c>
      <c r="U57" s="143">
        <f t="shared" si="41"/>
        <v>2.9291277993869418</v>
      </c>
      <c r="V57" s="143">
        <f t="shared" si="41"/>
        <v>2.8838727748864135</v>
      </c>
    </row>
    <row r="58" spans="1:22" ht="15.5" x14ac:dyDescent="0.35">
      <c r="A58" s="25" t="s">
        <v>29</v>
      </c>
      <c r="B58" s="338">
        <f>'WAN FAN Wi-Fi'!G130*0.02/0.98</f>
        <v>7.4622932052821138</v>
      </c>
      <c r="C58" s="338">
        <f>'WAN FAN Wi-Fi'!H130*0.02/0.98</f>
        <v>7.7195072290439377</v>
      </c>
      <c r="D58" s="338">
        <f>'WAN FAN Wi-Fi'!I130*0.02/0.98</f>
        <v>8.017599392472702</v>
      </c>
      <c r="E58" s="338">
        <f>'WAN FAN Wi-Fi'!J130*0.02/0.98</f>
        <v>7.5645437342065645</v>
      </c>
      <c r="F58" s="338">
        <f>'WAN FAN Wi-Fi'!K130*0.02/0.98</f>
        <v>7.1564269442957871</v>
      </c>
      <c r="G58" s="338">
        <f>'WAN FAN Wi-Fi'!L130*0.02/0.98</f>
        <v>6.7626223867759538</v>
      </c>
      <c r="H58" s="338">
        <f>'WAN FAN Wi-Fi'!M130*0.02/0.98</f>
        <v>6.4194431458404058</v>
      </c>
      <c r="I58" s="338">
        <f>'WAN FAN Wi-Fi'!N130*0.02/0.98</f>
        <v>6.0072843433187879</v>
      </c>
      <c r="J58" s="338">
        <f>'WAN FAN Wi-Fi'!O130*0.02/0.98</f>
        <v>5.7947148878108328</v>
      </c>
      <c r="K58" s="338">
        <f>'WAN FAN Wi-Fi'!P130*0.02/0.98</f>
        <v>5.609410078467663</v>
      </c>
      <c r="L58" s="338">
        <f>'WAN FAN Wi-Fi'!Q130*0.02/0.98</f>
        <v>5.4959912663973105</v>
      </c>
      <c r="M58" s="338">
        <f>'WAN FAN Wi-Fi'!R130*0.02/0.98</f>
        <v>5.4120689858139794</v>
      </c>
      <c r="N58" s="338">
        <f>'WAN FAN Wi-Fi'!S130*0.02/0.98</f>
        <v>5.4236333367288498</v>
      </c>
      <c r="O58" s="338">
        <f>'WAN FAN Wi-Fi'!T130*0.02/0.98</f>
        <v>5.5929928148206862</v>
      </c>
      <c r="P58" s="338">
        <f>'WAN FAN Wi-Fi'!U130*0.02/0.98</f>
        <v>5.922546370500374</v>
      </c>
      <c r="Q58" s="338">
        <f>'WAN FAN Wi-Fi'!V130*0.02/0.98</f>
        <v>6.4363261501918565</v>
      </c>
      <c r="R58" s="338">
        <f>'WAN FAN Wi-Fi'!W130*0.02/0.98</f>
        <v>7.4530880003124356</v>
      </c>
      <c r="S58" s="338">
        <f>'WAN FAN Wi-Fi'!X130*0.02/0.98</f>
        <v>8.9135323998936116</v>
      </c>
      <c r="T58" s="338">
        <f>'WAN FAN Wi-Fi'!Y130*0.02/0.98</f>
        <v>10.885844557559167</v>
      </c>
      <c r="U58" s="338">
        <f>'WAN FAN Wi-Fi'!Z130*0.02/0.98</f>
        <v>13.719633036538381</v>
      </c>
      <c r="V58" s="338">
        <f>'WAN FAN Wi-Fi'!AA130*0.02/0.98</f>
        <v>17.829282851277167</v>
      </c>
    </row>
    <row r="59" spans="1:22" ht="15.5" x14ac:dyDescent="0.35">
      <c r="A59" s="25" t="s">
        <v>30</v>
      </c>
      <c r="B59" s="338">
        <f>DataCenters!F8*0.02/0.98</f>
        <v>4.0082285714285719</v>
      </c>
      <c r="C59" s="338">
        <f>DataCenters!G8*0.02/0.98</f>
        <v>4.2130285714285716</v>
      </c>
      <c r="D59" s="338">
        <f>DataCenters!H8*0.02/0.98</f>
        <v>4.8683885714285724</v>
      </c>
      <c r="E59" s="338">
        <f>DataCenters!I8*0.02/0.98</f>
        <v>4.6436937142857158</v>
      </c>
      <c r="F59" s="338">
        <f>DataCenters!J8*0.02/0.98</f>
        <v>4.8294414628571429</v>
      </c>
      <c r="G59" s="338">
        <f>DataCenters!K8*0.02/0.98</f>
        <v>5.02261912137143</v>
      </c>
      <c r="H59" s="338">
        <f>DataCenters!L8*0.02/0.98</f>
        <v>5.2235238862262889</v>
      </c>
      <c r="I59" s="338">
        <f>DataCenters!M8*0.02/0.98</f>
        <v>5.4324648416753405</v>
      </c>
      <c r="J59" s="338">
        <f>DataCenters!N8*0.02/0.98</f>
        <v>5.6497634353423543</v>
      </c>
      <c r="K59" s="338">
        <f>DataCenters!O8*0.02/0.98</f>
        <v>5.8757539727560477</v>
      </c>
      <c r="L59" s="338">
        <f>DataCenters!P8*0.02/0.98</f>
        <v>6.1107841316662901</v>
      </c>
      <c r="M59" s="338">
        <f>DataCenters!Q8*0.02/0.98</f>
        <v>6.3552154969329422</v>
      </c>
      <c r="N59" s="338">
        <f>DataCenters!R8*0.02/0.98</f>
        <v>6.6920419182703883</v>
      </c>
      <c r="O59" s="338">
        <f>DataCenters!S8*0.02/0.98</f>
        <v>7.1337166848762337</v>
      </c>
      <c r="P59" s="338">
        <f>DataCenters!T8*0.02/0.98</f>
        <v>7.697280302981456</v>
      </c>
      <c r="Q59" s="338">
        <f>DataCenters!U8*0.02/0.98</f>
        <v>8.4054300908557504</v>
      </c>
      <c r="R59" s="338">
        <f>DataCenters!V8*0.02/0.98</f>
        <v>9.6158120239389788</v>
      </c>
      <c r="S59" s="338">
        <f>DataCenters!W8*0.02/0.98</f>
        <v>11.250500068008606</v>
      </c>
      <c r="T59" s="338">
        <f>DataCenters!X8*0.02/0.98</f>
        <v>13.309341580454181</v>
      </c>
      <c r="U59" s="338">
        <f>DataCenters!Y8*0.02/0.98</f>
        <v>16.090993970769109</v>
      </c>
      <c r="V59" s="338">
        <f>DataCenters!Z8*0.02/0.98</f>
        <v>19.872377553899852</v>
      </c>
    </row>
    <row r="60" spans="1:22" s="64" customFormat="1" ht="15.5" x14ac:dyDescent="0.35">
      <c r="A60" s="272" t="s">
        <v>31</v>
      </c>
      <c r="B60" s="273">
        <f>SUM(B46:B59)</f>
        <v>291.43102177671062</v>
      </c>
      <c r="C60" s="273">
        <f t="shared" ref="C60:U60" si="42">SUM(C46:C59)</f>
        <v>297.00104642547245</v>
      </c>
      <c r="D60" s="273">
        <f t="shared" si="42"/>
        <v>308.63237017224498</v>
      </c>
      <c r="E60" s="273">
        <f t="shared" si="42"/>
        <v>317.22924126904206</v>
      </c>
      <c r="F60" s="273">
        <f t="shared" si="42"/>
        <v>327.85381452986945</v>
      </c>
      <c r="G60" s="273">
        <f t="shared" si="42"/>
        <v>341.8162073076362</v>
      </c>
      <c r="H60" s="273">
        <f t="shared" si="42"/>
        <v>347.82077257284084</v>
      </c>
      <c r="I60" s="273">
        <f t="shared" si="42"/>
        <v>354.94108535977614</v>
      </c>
      <c r="J60" s="273">
        <f t="shared" si="42"/>
        <v>363.5650925999679</v>
      </c>
      <c r="K60" s="273">
        <f t="shared" si="42"/>
        <v>373.65504561707081</v>
      </c>
      <c r="L60" s="273">
        <f t="shared" si="42"/>
        <v>380.72556712639556</v>
      </c>
      <c r="M60" s="273">
        <f t="shared" si="42"/>
        <v>357.87211632784187</v>
      </c>
      <c r="N60" s="273">
        <f t="shared" si="42"/>
        <v>339.03203032465109</v>
      </c>
      <c r="O60" s="273">
        <f t="shared" si="42"/>
        <v>323.68619512451198</v>
      </c>
      <c r="P60" s="273">
        <f t="shared" si="42"/>
        <v>311.37934948075281</v>
      </c>
      <c r="Q60" s="273">
        <f t="shared" si="42"/>
        <v>301.78118722120519</v>
      </c>
      <c r="R60" s="273">
        <f t="shared" si="42"/>
        <v>295.27211890949917</v>
      </c>
      <c r="S60" s="273">
        <f t="shared" si="42"/>
        <v>291.48660096467916</v>
      </c>
      <c r="T60" s="273">
        <f t="shared" si="42"/>
        <v>290.32131988346475</v>
      </c>
      <c r="U60" s="273">
        <f t="shared" si="42"/>
        <v>292.30166653406218</v>
      </c>
      <c r="V60" s="273">
        <f>SUM(V46:V59)</f>
        <v>298.03786185519311</v>
      </c>
    </row>
    <row r="61" spans="1:22" x14ac:dyDescent="0.3">
      <c r="A61" s="26"/>
      <c r="B61" s="26"/>
      <c r="C61" s="26"/>
      <c r="D61" s="32"/>
      <c r="E61" s="32"/>
      <c r="F61" s="32"/>
      <c r="G61" s="32"/>
      <c r="H61" s="32"/>
      <c r="I61" s="32"/>
    </row>
    <row r="62" spans="1:22" ht="14.5" x14ac:dyDescent="0.35">
      <c r="A62" s="31" t="s">
        <v>33</v>
      </c>
      <c r="B62" s="31"/>
      <c r="C62" s="31"/>
    </row>
    <row r="63" spans="1:22" x14ac:dyDescent="0.3">
      <c r="B63" s="146">
        <v>2010</v>
      </c>
      <c r="C63" s="146">
        <v>2011</v>
      </c>
      <c r="D63" s="146">
        <v>2012</v>
      </c>
      <c r="E63" s="146">
        <v>2013</v>
      </c>
      <c r="F63" s="146">
        <v>2014</v>
      </c>
      <c r="G63" s="146">
        <v>2015</v>
      </c>
      <c r="H63" s="146">
        <v>2016</v>
      </c>
      <c r="I63" s="146">
        <v>2017</v>
      </c>
      <c r="J63" s="146">
        <v>2018</v>
      </c>
      <c r="K63" s="146">
        <v>2019</v>
      </c>
      <c r="L63" s="146">
        <v>2020</v>
      </c>
      <c r="M63" s="7">
        <v>2021</v>
      </c>
      <c r="N63" s="7">
        <v>2022</v>
      </c>
      <c r="O63" s="7">
        <v>2023</v>
      </c>
      <c r="P63" s="7">
        <v>2024</v>
      </c>
      <c r="Q63" s="7">
        <v>2025</v>
      </c>
      <c r="R63" s="7">
        <v>2026</v>
      </c>
      <c r="S63" s="7">
        <v>2027</v>
      </c>
      <c r="T63" s="7">
        <v>2028</v>
      </c>
      <c r="U63" s="7">
        <v>2029</v>
      </c>
      <c r="V63" s="7">
        <v>2030</v>
      </c>
    </row>
    <row r="64" spans="1:22" ht="14.5" x14ac:dyDescent="0.35">
      <c r="A64" s="28" t="s">
        <v>19</v>
      </c>
      <c r="B64" s="139">
        <f>B3*$Y$3/1000</f>
        <v>31.39</v>
      </c>
      <c r="C64" s="139">
        <f t="shared" ref="C64:V64" si="43">C3*$Y$3/1000*AD5</f>
        <v>31.501799999999999</v>
      </c>
      <c r="D64" s="139">
        <f t="shared" si="43"/>
        <v>31.818946500000003</v>
      </c>
      <c r="E64" s="139">
        <f t="shared" si="43"/>
        <v>30.870741894299993</v>
      </c>
      <c r="F64" s="139">
        <f t="shared" si="43"/>
        <v>29.950793785849857</v>
      </c>
      <c r="G64" s="139">
        <f t="shared" si="43"/>
        <v>29.058260131031528</v>
      </c>
      <c r="H64" s="139">
        <f t="shared" si="43"/>
        <v>28.19232397912679</v>
      </c>
      <c r="I64" s="139">
        <f t="shared" si="43"/>
        <v>27.352192724548807</v>
      </c>
      <c r="J64" s="139">
        <f t="shared" si="43"/>
        <v>26.537097381357253</v>
      </c>
      <c r="K64" s="139">
        <f t="shared" si="43"/>
        <v>25.746291879392803</v>
      </c>
      <c r="L64" s="139">
        <f t="shared" si="43"/>
        <v>24.9790523813869</v>
      </c>
      <c r="M64" s="139">
        <f t="shared" si="43"/>
        <v>24.234676620421574</v>
      </c>
      <c r="N64" s="139">
        <f t="shared" si="43"/>
        <v>23.512483257133013</v>
      </c>
      <c r="O64" s="139">
        <f t="shared" si="43"/>
        <v>22.811811256070452</v>
      </c>
      <c r="P64" s="139">
        <f t="shared" si="43"/>
        <v>22.132019280639557</v>
      </c>
      <c r="Q64" s="139">
        <f t="shared" si="43"/>
        <v>21.472485106076498</v>
      </c>
      <c r="R64" s="139">
        <f t="shared" si="43"/>
        <v>20.832605049915422</v>
      </c>
      <c r="S64" s="139">
        <f t="shared" si="43"/>
        <v>20.211793419427941</v>
      </c>
      <c r="T64" s="139">
        <f t="shared" si="43"/>
        <v>19.609481975528986</v>
      </c>
      <c r="U64" s="139">
        <f t="shared" si="43"/>
        <v>19.025119412658228</v>
      </c>
      <c r="V64" s="139">
        <f t="shared" si="43"/>
        <v>18.458170854161011</v>
      </c>
    </row>
    <row r="65" spans="1:22" ht="14.5" x14ac:dyDescent="0.35">
      <c r="A65" s="28" t="s">
        <v>20</v>
      </c>
      <c r="B65" s="139">
        <f>B4*$Y$4/1000</f>
        <v>54.107999999999997</v>
      </c>
      <c r="C65" s="139">
        <f t="shared" ref="C65:V65" si="44">C4*$Y$4/1000*AD5</f>
        <v>54.558900000000001</v>
      </c>
      <c r="D65" s="139">
        <f t="shared" si="44"/>
        <v>55.322724599999994</v>
      </c>
      <c r="E65" s="139">
        <f t="shared" si="44"/>
        <v>53.674107406920001</v>
      </c>
      <c r="F65" s="139">
        <f t="shared" si="44"/>
        <v>52.074619006193785</v>
      </c>
      <c r="G65" s="139">
        <f t="shared" si="44"/>
        <v>50.522795359809209</v>
      </c>
      <c r="H65" s="139">
        <f t="shared" si="44"/>
        <v>49.017216058086895</v>
      </c>
      <c r="I65" s="139">
        <f t="shared" si="44"/>
        <v>47.556503019555905</v>
      </c>
      <c r="J65" s="139">
        <f t="shared" si="44"/>
        <v>46.13931922957314</v>
      </c>
      <c r="K65" s="139">
        <f t="shared" si="44"/>
        <v>44.764367516531856</v>
      </c>
      <c r="L65" s="139">
        <f t="shared" si="44"/>
        <v>43.430389364539202</v>
      </c>
      <c r="M65" s="139">
        <f t="shared" si="44"/>
        <v>42.136163761475935</v>
      </c>
      <c r="N65" s="139">
        <f t="shared" si="44"/>
        <v>40.880506081383949</v>
      </c>
      <c r="O65" s="139">
        <f t="shared" si="44"/>
        <v>39.6622670001587</v>
      </c>
      <c r="P65" s="139">
        <f t="shared" si="44"/>
        <v>38.480331443553972</v>
      </c>
      <c r="Q65" s="139">
        <f t="shared" si="44"/>
        <v>37.333617566536056</v>
      </c>
      <c r="R65" s="139">
        <f t="shared" si="44"/>
        <v>36.221075763053278</v>
      </c>
      <c r="S65" s="139">
        <f t="shared" si="44"/>
        <v>35.141687705314283</v>
      </c>
      <c r="T65" s="139">
        <f t="shared" si="44"/>
        <v>34.094465411695921</v>
      </c>
      <c r="U65" s="139">
        <f t="shared" si="44"/>
        <v>33.078450342427374</v>
      </c>
      <c r="V65" s="139">
        <f t="shared" si="44"/>
        <v>32.092712522223032</v>
      </c>
    </row>
    <row r="66" spans="1:22" ht="14.5" x14ac:dyDescent="0.35">
      <c r="A66" s="28" t="s">
        <v>21</v>
      </c>
      <c r="B66" s="139">
        <f>B5*$Y$5/1000</f>
        <v>33.567</v>
      </c>
      <c r="C66" s="139">
        <f t="shared" ref="C66:V66" si="45">C5*$Y$5/1000*AD5</f>
        <v>35.545949999999998</v>
      </c>
      <c r="D66" s="139">
        <f t="shared" si="45"/>
        <v>40.264468199999996</v>
      </c>
      <c r="E66" s="139">
        <f t="shared" si="45"/>
        <v>46.019340971999995</v>
      </c>
      <c r="F66" s="139">
        <f t="shared" si="45"/>
        <v>53.259285178440003</v>
      </c>
      <c r="G66" s="139">
        <f t="shared" si="45"/>
        <v>60.985089919987196</v>
      </c>
      <c r="H66" s="139">
        <f t="shared" si="45"/>
        <v>69.651642932835372</v>
      </c>
      <c r="I66" s="139">
        <f t="shared" si="45"/>
        <v>79.54979437774378</v>
      </c>
      <c r="J66" s="139">
        <f t="shared" si="45"/>
        <v>90.854565938143452</v>
      </c>
      <c r="K66" s="139">
        <f t="shared" si="45"/>
        <v>103.7658515195093</v>
      </c>
      <c r="L66" s="139">
        <f t="shared" si="45"/>
        <v>118.51195182528953</v>
      </c>
      <c r="M66" s="139">
        <f t="shared" si="45"/>
        <v>98.554539137910766</v>
      </c>
      <c r="N66" s="139">
        <f t="shared" si="45"/>
        <v>81.957954747086575</v>
      </c>
      <c r="O66" s="139">
        <f t="shared" si="45"/>
        <v>68.156235167677167</v>
      </c>
      <c r="P66" s="139">
        <f t="shared" si="45"/>
        <v>56.678725165440333</v>
      </c>
      <c r="Q66" s="139">
        <f t="shared" si="45"/>
        <v>47.134027847580164</v>
      </c>
      <c r="R66" s="139">
        <f t="shared" si="45"/>
        <v>39.196657558047654</v>
      </c>
      <c r="S66" s="139">
        <f t="shared" si="45"/>
        <v>32.595940425272417</v>
      </c>
      <c r="T66" s="139">
        <f t="shared" si="45"/>
        <v>27.106784057656544</v>
      </c>
      <c r="U66" s="139">
        <f t="shared" si="45"/>
        <v>22.542001622347176</v>
      </c>
      <c r="V66" s="139">
        <f t="shared" si="45"/>
        <v>18.745928549143908</v>
      </c>
    </row>
    <row r="67" spans="1:22" ht="14.5" x14ac:dyDescent="0.35">
      <c r="A67" s="28" t="s">
        <v>22</v>
      </c>
      <c r="B67" s="139">
        <f>B6*$Y$6/1000</f>
        <v>21</v>
      </c>
      <c r="C67" s="139">
        <f t="shared" ref="C67:V67" si="46">C6*$Y$6/1000*AD5</f>
        <v>27.324000000000002</v>
      </c>
      <c r="D67" s="139">
        <f t="shared" si="46"/>
        <v>41.164200000000001</v>
      </c>
      <c r="E67" s="139">
        <f t="shared" si="46"/>
        <v>52.396145999999995</v>
      </c>
      <c r="F67" s="139">
        <f t="shared" si="46"/>
        <v>67.722018704999996</v>
      </c>
      <c r="G67" s="139">
        <f t="shared" si="46"/>
        <v>79.312570161659991</v>
      </c>
      <c r="H67" s="139">
        <f t="shared" si="46"/>
        <v>82.445416683045551</v>
      </c>
      <c r="I67" s="139">
        <f t="shared" si="46"/>
        <v>85.702010642025868</v>
      </c>
      <c r="J67" s="139">
        <f t="shared" si="46"/>
        <v>89.087240062385874</v>
      </c>
      <c r="K67" s="139">
        <f t="shared" si="46"/>
        <v>92.606186044850133</v>
      </c>
      <c r="L67" s="139">
        <f t="shared" si="46"/>
        <v>96.264130393621713</v>
      </c>
      <c r="M67" s="139">
        <f t="shared" si="46"/>
        <v>95.299803783297762</v>
      </c>
      <c r="N67" s="139">
        <f t="shared" si="46"/>
        <v>94.346805745464778</v>
      </c>
      <c r="O67" s="139">
        <f t="shared" si="46"/>
        <v>93.40333768801014</v>
      </c>
      <c r="P67" s="139">
        <f t="shared" si="46"/>
        <v>92.469304311130031</v>
      </c>
      <c r="Q67" s="139">
        <f t="shared" si="46"/>
        <v>91.544611268018727</v>
      </c>
      <c r="R67" s="139">
        <f t="shared" si="46"/>
        <v>90.629165155338541</v>
      </c>
      <c r="S67" s="139">
        <f t="shared" si="46"/>
        <v>89.722873503785152</v>
      </c>
      <c r="T67" s="139">
        <f t="shared" si="46"/>
        <v>88.825644768747296</v>
      </c>
      <c r="U67" s="139">
        <f t="shared" si="46"/>
        <v>87.937388321059828</v>
      </c>
      <c r="V67" s="139">
        <f t="shared" si="46"/>
        <v>87.058014437849224</v>
      </c>
    </row>
    <row r="68" spans="1:22" ht="14.5" x14ac:dyDescent="0.35">
      <c r="A68" s="28" t="s">
        <v>23</v>
      </c>
      <c r="B68" s="139">
        <f>B7*$Y$7/1000</f>
        <v>14.35</v>
      </c>
      <c r="C68" s="139">
        <f t="shared" ref="C68:V68" si="47">C7*$Y$7/1000*AD5</f>
        <v>28.413</v>
      </c>
      <c r="D68" s="139">
        <f t="shared" si="47"/>
        <v>42.193304999999995</v>
      </c>
      <c r="E68" s="139">
        <f t="shared" si="47"/>
        <v>57.644493290999996</v>
      </c>
      <c r="F68" s="139">
        <f t="shared" si="47"/>
        <v>70.576910046719988</v>
      </c>
      <c r="G68" s="139">
        <f t="shared" si="47"/>
        <v>87.611860327137293</v>
      </c>
      <c r="H68" s="139">
        <f t="shared" si="47"/>
        <v>99.746102982445791</v>
      </c>
      <c r="I68" s="139">
        <f t="shared" si="47"/>
        <v>113.56093824551452</v>
      </c>
      <c r="J68" s="139">
        <f t="shared" si="47"/>
        <v>129.28912819251826</v>
      </c>
      <c r="K68" s="139">
        <f t="shared" si="47"/>
        <v>147.19567244718203</v>
      </c>
      <c r="L68" s="139">
        <f t="shared" si="47"/>
        <v>145.61184475094257</v>
      </c>
      <c r="M68" s="139">
        <f t="shared" si="47"/>
        <v>144.15572630343314</v>
      </c>
      <c r="N68" s="139">
        <f t="shared" si="47"/>
        <v>142.71416904039882</v>
      </c>
      <c r="O68" s="139">
        <f t="shared" si="47"/>
        <v>141.28702734999482</v>
      </c>
      <c r="P68" s="139">
        <f t="shared" si="47"/>
        <v>139.87415707649487</v>
      </c>
      <c r="Q68" s="139">
        <f t="shared" si="47"/>
        <v>138.47541550572993</v>
      </c>
      <c r="R68" s="139">
        <f t="shared" si="47"/>
        <v>137.0906613506726</v>
      </c>
      <c r="S68" s="139">
        <f t="shared" si="47"/>
        <v>135.71975473716589</v>
      </c>
      <c r="T68" s="139">
        <f t="shared" si="47"/>
        <v>134.36255718979422</v>
      </c>
      <c r="U68" s="139">
        <f t="shared" si="47"/>
        <v>133.01893161789627</v>
      </c>
      <c r="V68" s="139">
        <f t="shared" si="47"/>
        <v>131.68874230171733</v>
      </c>
    </row>
    <row r="69" spans="1:22" ht="16.5" x14ac:dyDescent="0.35">
      <c r="A69" s="29" t="s">
        <v>38</v>
      </c>
      <c r="B69" s="139">
        <f>B8*$Y$8/1000</f>
        <v>18.75</v>
      </c>
      <c r="C69" s="139">
        <f t="shared" ref="C69:V69" si="48">C8*$Y$8/1000*AD5</f>
        <v>18.710999999999999</v>
      </c>
      <c r="D69" s="139">
        <f t="shared" si="48"/>
        <v>15.436574999999999</v>
      </c>
      <c r="E69" s="139">
        <f t="shared" si="48"/>
        <v>13.186363409999998</v>
      </c>
      <c r="F69" s="139">
        <f t="shared" si="48"/>
        <v>8.5445015089499989</v>
      </c>
      <c r="G69" s="139">
        <f t="shared" si="48"/>
        <v>10.898345971853999</v>
      </c>
      <c r="H69" s="139">
        <f t="shared" si="48"/>
        <v>10.249894386528686</v>
      </c>
      <c r="I69" s="139">
        <f t="shared" si="48"/>
        <v>9.6400256705302265</v>
      </c>
      <c r="J69" s="139">
        <f t="shared" si="48"/>
        <v>9.066444143133678</v>
      </c>
      <c r="K69" s="139">
        <f t="shared" si="48"/>
        <v>8.5269907166172239</v>
      </c>
      <c r="L69" s="139">
        <f t="shared" si="48"/>
        <v>8.0196347689784968</v>
      </c>
      <c r="M69" s="139">
        <f t="shared" si="48"/>
        <v>7.5424665002242763</v>
      </c>
      <c r="N69" s="139">
        <f t="shared" si="48"/>
        <v>7.0936897434609323</v>
      </c>
      <c r="O69" s="139">
        <f t="shared" si="48"/>
        <v>6.6716152037250067</v>
      </c>
      <c r="P69" s="139">
        <f t="shared" si="48"/>
        <v>6.2746540991033681</v>
      </c>
      <c r="Q69" s="139">
        <f t="shared" si="48"/>
        <v>5.9013121802067179</v>
      </c>
      <c r="R69" s="139">
        <f t="shared" si="48"/>
        <v>5.5501841054844183</v>
      </c>
      <c r="S69" s="139">
        <f t="shared" si="48"/>
        <v>5.2199481512080936</v>
      </c>
      <c r="T69" s="139">
        <f t="shared" si="48"/>
        <v>4.909361236211212</v>
      </c>
      <c r="U69" s="139">
        <f t="shared" si="48"/>
        <v>4.617254242656645</v>
      </c>
      <c r="V69" s="139">
        <f t="shared" si="48"/>
        <v>4.3425276152185743</v>
      </c>
    </row>
    <row r="70" spans="1:22" ht="16.5" x14ac:dyDescent="0.35">
      <c r="A70" s="29" t="s">
        <v>62</v>
      </c>
      <c r="B70" s="139">
        <f>B9*$Y$9/1000</f>
        <v>0</v>
      </c>
      <c r="C70" s="139">
        <f t="shared" ref="C70:V70" si="49">C9*$Y$9/1000*AD5</f>
        <v>0</v>
      </c>
      <c r="D70" s="139">
        <f t="shared" si="49"/>
        <v>1.9601999999999999</v>
      </c>
      <c r="E70" s="139">
        <f t="shared" si="49"/>
        <v>9.7029899999999998</v>
      </c>
      <c r="F70" s="139">
        <f t="shared" si="49"/>
        <v>19.211920199999998</v>
      </c>
      <c r="G70" s="139">
        <f t="shared" si="49"/>
        <v>27.261714763799933</v>
      </c>
      <c r="H70" s="139">
        <f t="shared" si="49"/>
        <v>35.462418960770933</v>
      </c>
      <c r="I70" s="139">
        <f t="shared" si="49"/>
        <v>43.496382902326133</v>
      </c>
      <c r="J70" s="139">
        <f t="shared" si="49"/>
        <v>51.36612132315414</v>
      </c>
      <c r="K70" s="139">
        <f t="shared" si="49"/>
        <v>59.074115337275359</v>
      </c>
      <c r="L70" s="139">
        <f t="shared" si="49"/>
        <v>66.62281285898186</v>
      </c>
      <c r="M70" s="139">
        <f t="shared" si="49"/>
        <v>76.509638287254759</v>
      </c>
      <c r="N70" s="139">
        <f t="shared" si="49"/>
        <v>87.863668609083348</v>
      </c>
      <c r="O70" s="139">
        <f t="shared" si="49"/>
        <v>100.9026370306713</v>
      </c>
      <c r="P70" s="139">
        <f t="shared" si="49"/>
        <v>115.87658836602292</v>
      </c>
      <c r="Q70" s="139">
        <f t="shared" si="49"/>
        <v>133.07267407954072</v>
      </c>
      <c r="R70" s="139">
        <f t="shared" si="49"/>
        <v>152.82065891294457</v>
      </c>
      <c r="S70" s="139">
        <f t="shared" si="49"/>
        <v>175.49924469562549</v>
      </c>
      <c r="T70" s="139">
        <f t="shared" si="49"/>
        <v>201.54333260845627</v>
      </c>
      <c r="U70" s="139">
        <f t="shared" si="49"/>
        <v>231.4523631675512</v>
      </c>
      <c r="V70" s="139">
        <f t="shared" si="49"/>
        <v>265.79989386161577</v>
      </c>
    </row>
    <row r="71" spans="1:22" ht="14.5" x14ac:dyDescent="0.35">
      <c r="A71" s="28" t="s">
        <v>24</v>
      </c>
      <c r="B71" s="139">
        <f>B13*$Y$13/1000</f>
        <v>425</v>
      </c>
      <c r="C71" s="139">
        <f>C13*$Y$13/1000*AD5</f>
        <v>427.06124999999992</v>
      </c>
      <c r="D71" s="139">
        <f t="shared" ref="D71:V71" si="50">D13*$Y$13/1000*AE5</f>
        <v>429.13249706249985</v>
      </c>
      <c r="E71" s="139">
        <f t="shared" si="50"/>
        <v>431.21378967325285</v>
      </c>
      <c r="F71" s="139">
        <f t="shared" si="50"/>
        <v>433.30517655316811</v>
      </c>
      <c r="G71" s="139">
        <f t="shared" si="50"/>
        <v>435.40670665945089</v>
      </c>
      <c r="H71" s="139">
        <f t="shared" si="50"/>
        <v>437.51842918674919</v>
      </c>
      <c r="I71" s="139">
        <f t="shared" si="50"/>
        <v>439.64039356830494</v>
      </c>
      <c r="J71" s="139">
        <f t="shared" si="50"/>
        <v>441.77264947711103</v>
      </c>
      <c r="K71" s="139">
        <f t="shared" si="50"/>
        <v>443.91524682707501</v>
      </c>
      <c r="L71" s="139">
        <f t="shared" si="50"/>
        <v>446.06823577418635</v>
      </c>
      <c r="M71" s="139">
        <f t="shared" si="50"/>
        <v>448.2316667176911</v>
      </c>
      <c r="N71" s="139">
        <f t="shared" si="50"/>
        <v>450.4055903012719</v>
      </c>
      <c r="O71" s="139">
        <f t="shared" si="50"/>
        <v>452.59005741423306</v>
      </c>
      <c r="P71" s="139">
        <f t="shared" si="50"/>
        <v>454.78511919269204</v>
      </c>
      <c r="Q71" s="139">
        <f t="shared" si="50"/>
        <v>456.99082702077646</v>
      </c>
      <c r="R71" s="139">
        <f t="shared" si="50"/>
        <v>459.20723253182717</v>
      </c>
      <c r="S71" s="139">
        <f t="shared" si="50"/>
        <v>461.43438760960652</v>
      </c>
      <c r="T71" s="139">
        <f t="shared" si="50"/>
        <v>463.672344389513</v>
      </c>
      <c r="U71" s="139">
        <f t="shared" si="50"/>
        <v>465.92115525980222</v>
      </c>
      <c r="V71" s="139">
        <f t="shared" si="50"/>
        <v>468.18087286281218</v>
      </c>
    </row>
    <row r="72" spans="1:22" ht="14.5" x14ac:dyDescent="0.35">
      <c r="A72" s="28" t="s">
        <v>25</v>
      </c>
      <c r="B72" s="139">
        <f>B14*$Y$14/1000</f>
        <v>4.75</v>
      </c>
      <c r="C72" s="139">
        <f>C14*$Y$14/1000*AD5</f>
        <v>4.7730375</v>
      </c>
      <c r="D72" s="139">
        <f t="shared" ref="D72:V72" si="51">D14*$Y$14/1000*AE5</f>
        <v>4.7961867318749984</v>
      </c>
      <c r="E72" s="139">
        <f t="shared" si="51"/>
        <v>4.8194482375245906</v>
      </c>
      <c r="F72" s="139">
        <f t="shared" si="51"/>
        <v>4.8428225614765843</v>
      </c>
      <c r="G72" s="139">
        <f t="shared" si="51"/>
        <v>4.8663102508997458</v>
      </c>
      <c r="H72" s="139">
        <f t="shared" si="51"/>
        <v>4.8899118556166092</v>
      </c>
      <c r="I72" s="139">
        <f t="shared" si="51"/>
        <v>4.9136279281163482</v>
      </c>
      <c r="J72" s="139">
        <f t="shared" si="51"/>
        <v>4.9374590235677118</v>
      </c>
      <c r="K72" s="139">
        <f t="shared" si="51"/>
        <v>4.9614056998320146</v>
      </c>
      <c r="L72" s="139">
        <f t="shared" si="51"/>
        <v>4.9854685174762006</v>
      </c>
      <c r="M72" s="139">
        <f t="shared" si="51"/>
        <v>5.0096480397859597</v>
      </c>
      <c r="N72" s="139">
        <f t="shared" si="51"/>
        <v>5.0339448327789214</v>
      </c>
      <c r="O72" s="139">
        <f t="shared" si="51"/>
        <v>5.0583594652178991</v>
      </c>
      <c r="P72" s="139">
        <f t="shared" si="51"/>
        <v>5.0828925086242043</v>
      </c>
      <c r="Q72" s="139">
        <f t="shared" si="51"/>
        <v>5.1075445372910311</v>
      </c>
      <c r="R72" s="139">
        <f t="shared" si="51"/>
        <v>5.1323161282968925</v>
      </c>
      <c r="S72" s="139">
        <f t="shared" si="51"/>
        <v>5.1572078615191321</v>
      </c>
      <c r="T72" s="139">
        <f t="shared" si="51"/>
        <v>5.1822203196474996</v>
      </c>
      <c r="U72" s="139">
        <f t="shared" si="51"/>
        <v>5.20735408819779</v>
      </c>
      <c r="V72" s="139">
        <f t="shared" si="51"/>
        <v>5.232609755525548</v>
      </c>
    </row>
    <row r="73" spans="1:22" ht="14.5" x14ac:dyDescent="0.35">
      <c r="A73" s="28" t="s">
        <v>26</v>
      </c>
      <c r="B73" s="139">
        <f>B15*$Y14/1000</f>
        <v>2.5</v>
      </c>
      <c r="C73" s="139">
        <f>C15*$Y$14/1000*AD5</f>
        <v>2.5121250000000002</v>
      </c>
      <c r="D73" s="139">
        <f t="shared" ref="D73:V73" si="52">D15*$Y$14/1000*AE5</f>
        <v>2.5243088062499996</v>
      </c>
      <c r="E73" s="139">
        <f t="shared" si="52"/>
        <v>2.5365517039603107</v>
      </c>
      <c r="F73" s="139">
        <f t="shared" si="52"/>
        <v>2.5488539797245187</v>
      </c>
      <c r="G73" s="139">
        <f t="shared" si="52"/>
        <v>2.5612159215261818</v>
      </c>
      <c r="H73" s="139">
        <f t="shared" si="52"/>
        <v>2.5736378187455839</v>
      </c>
      <c r="I73" s="139">
        <f t="shared" si="52"/>
        <v>2.5861199621664994</v>
      </c>
      <c r="J73" s="139">
        <f t="shared" si="52"/>
        <v>2.5986626439830061</v>
      </c>
      <c r="K73" s="139">
        <f t="shared" si="52"/>
        <v>2.6112661578063237</v>
      </c>
      <c r="L73" s="139">
        <f t="shared" si="52"/>
        <v>2.623930798671684</v>
      </c>
      <c r="M73" s="139">
        <f t="shared" si="52"/>
        <v>2.6366568630452418</v>
      </c>
      <c r="N73" s="139">
        <f t="shared" si="52"/>
        <v>2.6494446488310111</v>
      </c>
      <c r="O73" s="139">
        <f t="shared" si="52"/>
        <v>2.6622944553778409</v>
      </c>
      <c r="P73" s="139">
        <f t="shared" si="52"/>
        <v>2.6752065834864238</v>
      </c>
      <c r="Q73" s="139">
        <f t="shared" si="52"/>
        <v>2.6881813354163322</v>
      </c>
      <c r="R73" s="139">
        <f t="shared" si="52"/>
        <v>2.701219014893101</v>
      </c>
      <c r="S73" s="139">
        <f t="shared" si="52"/>
        <v>2.7143199271153327</v>
      </c>
      <c r="T73" s="139">
        <f t="shared" si="52"/>
        <v>2.7274843787618419</v>
      </c>
      <c r="U73" s="139">
        <f t="shared" si="52"/>
        <v>2.7407126779988369</v>
      </c>
      <c r="V73" s="139">
        <f t="shared" si="52"/>
        <v>2.754005134487131</v>
      </c>
    </row>
    <row r="74" spans="1:22" ht="14.5" x14ac:dyDescent="0.35">
      <c r="A74" s="28" t="s">
        <v>27</v>
      </c>
      <c r="B74" s="139">
        <f>B16*$Y$14/1000</f>
        <v>3.75</v>
      </c>
      <c r="C74" s="139">
        <f>C16*$Y$14/1000*AD5</f>
        <v>3.7681874999999989</v>
      </c>
      <c r="D74" s="139">
        <f t="shared" ref="D74:V74" si="53">D16*$Y$14/1000*AE5</f>
        <v>3.7864632093749986</v>
      </c>
      <c r="E74" s="139">
        <f t="shared" si="53"/>
        <v>3.8048275559404661</v>
      </c>
      <c r="F74" s="139">
        <f t="shared" si="53"/>
        <v>3.8232809695867767</v>
      </c>
      <c r="G74" s="139">
        <f t="shared" si="53"/>
        <v>3.8418238822892725</v>
      </c>
      <c r="H74" s="139">
        <f t="shared" si="53"/>
        <v>3.8604567281183755</v>
      </c>
      <c r="I74" s="139">
        <f t="shared" si="53"/>
        <v>3.8791799432497482</v>
      </c>
      <c r="J74" s="139">
        <f t="shared" si="53"/>
        <v>3.8979939659745098</v>
      </c>
      <c r="K74" s="139">
        <f t="shared" si="53"/>
        <v>3.9168992367094857</v>
      </c>
      <c r="L74" s="139">
        <f t="shared" si="53"/>
        <v>3.935896198007526</v>
      </c>
      <c r="M74" s="139">
        <f t="shared" si="53"/>
        <v>3.9549852945678627</v>
      </c>
      <c r="N74" s="139">
        <f t="shared" si="53"/>
        <v>3.9741669732465161</v>
      </c>
      <c r="O74" s="139">
        <f t="shared" si="53"/>
        <v>3.9934416830667621</v>
      </c>
      <c r="P74" s="139">
        <f t="shared" si="53"/>
        <v>4.0128098752296353</v>
      </c>
      <c r="Q74" s="139">
        <f t="shared" si="53"/>
        <v>4.0322720031244987</v>
      </c>
      <c r="R74" s="139">
        <f t="shared" si="53"/>
        <v>4.0518285223396511</v>
      </c>
      <c r="S74" s="139">
        <f t="shared" si="53"/>
        <v>4.0714798906729985</v>
      </c>
      <c r="T74" s="139">
        <f t="shared" si="53"/>
        <v>4.0912265681427629</v>
      </c>
      <c r="U74" s="139">
        <f t="shared" si="53"/>
        <v>4.1110690169982549</v>
      </c>
      <c r="V74" s="139">
        <f t="shared" si="53"/>
        <v>4.1310077017306952</v>
      </c>
    </row>
    <row r="75" spans="1:22" ht="14.5" x14ac:dyDescent="0.35">
      <c r="A75" s="28" t="s">
        <v>28</v>
      </c>
      <c r="B75" s="139">
        <f>B17*$Y$14/1000</f>
        <v>4.375</v>
      </c>
      <c r="C75" s="139">
        <f>C17*$Y$14/1000*AD5</f>
        <v>4.3962187499999992</v>
      </c>
      <c r="D75" s="139">
        <f t="shared" ref="D75:V75" si="54">D17*$Y$14/1000*AE5</f>
        <v>4.4175404109374981</v>
      </c>
      <c r="E75" s="139">
        <f t="shared" si="54"/>
        <v>4.438965481930544</v>
      </c>
      <c r="F75" s="139">
        <f t="shared" si="54"/>
        <v>4.4604944645179065</v>
      </c>
      <c r="G75" s="139">
        <f t="shared" si="54"/>
        <v>4.4821278626708176</v>
      </c>
      <c r="H75" s="139">
        <f t="shared" si="54"/>
        <v>4.5038661828047708</v>
      </c>
      <c r="I75" s="139">
        <f t="shared" si="54"/>
        <v>4.525709933791374</v>
      </c>
      <c r="J75" s="139">
        <f t="shared" si="54"/>
        <v>4.5476596269702609</v>
      </c>
      <c r="K75" s="139">
        <f t="shared" si="54"/>
        <v>4.5697157761610674</v>
      </c>
      <c r="L75" s="139">
        <f t="shared" si="54"/>
        <v>4.5918788976754472</v>
      </c>
      <c r="M75" s="139">
        <f t="shared" si="54"/>
        <v>4.614149510329173</v>
      </c>
      <c r="N75" s="139">
        <f t="shared" si="54"/>
        <v>4.6365281354542693</v>
      </c>
      <c r="O75" s="139">
        <f t="shared" si="54"/>
        <v>4.659015296911222</v>
      </c>
      <c r="P75" s="139">
        <f t="shared" si="54"/>
        <v>4.6816115211012406</v>
      </c>
      <c r="Q75" s="139">
        <f t="shared" si="54"/>
        <v>4.7043173369785816</v>
      </c>
      <c r="R75" s="139">
        <f t="shared" si="54"/>
        <v>4.7271332760629265</v>
      </c>
      <c r="S75" s="139">
        <f t="shared" si="54"/>
        <v>4.7500598724518319</v>
      </c>
      <c r="T75" s="139">
        <f t="shared" si="54"/>
        <v>4.7730976628332229</v>
      </c>
      <c r="U75" s="139">
        <f t="shared" si="54"/>
        <v>4.7962471864979639</v>
      </c>
      <c r="V75" s="139">
        <f t="shared" si="54"/>
        <v>4.8195089853524786</v>
      </c>
    </row>
    <row r="76" spans="1:22" ht="14.5" x14ac:dyDescent="0.35">
      <c r="A76" s="30" t="s">
        <v>29</v>
      </c>
      <c r="B76" s="139">
        <f>'WAN FAN Wi-Fi'!G154*0.2/0.8</f>
        <v>136.41127952941176</v>
      </c>
      <c r="C76" s="139">
        <f>'WAN FAN Wi-Fi'!H154*0.2/0.8*AD5</f>
        <v>141.48770183424472</v>
      </c>
      <c r="D76" s="139">
        <f>'WAN FAN Wi-Fi'!I154*0.2/0.8</f>
        <v>151.12119163914059</v>
      </c>
      <c r="E76" s="139">
        <f>'WAN FAN Wi-Fi'!J154*0.2/0.8</f>
        <v>165.0488853827114</v>
      </c>
      <c r="F76" s="139">
        <f>'WAN FAN Wi-Fi'!K154*0.2/0.8</f>
        <v>183.06755846287365</v>
      </c>
      <c r="G76" s="139">
        <f>'WAN FAN Wi-Fi'!L154*0.2/0.8</f>
        <v>205.30861403983749</v>
      </c>
      <c r="H76" s="139">
        <f>'WAN FAN Wi-Fi'!M154*0.2/0.8</f>
        <v>231.95417308243211</v>
      </c>
      <c r="I76" s="139">
        <f>'WAN FAN Wi-Fi'!N154*0.2/0.8</f>
        <v>263.68402318935898</v>
      </c>
      <c r="J76" s="139">
        <f>'WAN FAN Wi-Fi'!O154*0.2/0.8</f>
        <v>309.93761352170202</v>
      </c>
      <c r="K76" s="139">
        <f>'WAN FAN Wi-Fi'!P154*0.2/0.8</f>
        <v>369.1075370681807</v>
      </c>
      <c r="L76" s="139">
        <f>'WAN FAN Wi-Fi'!Q154*0.2/0.8</f>
        <v>446.49995907939694</v>
      </c>
      <c r="M76" s="139">
        <f>'WAN FAN Wi-Fi'!R154*0.2/0.8</f>
        <v>548.35836433907855</v>
      </c>
      <c r="N76" s="139">
        <f>'WAN FAN Wi-Fi'!S154*0.2/0.8</f>
        <v>675.35536764435301</v>
      </c>
      <c r="O76" s="139">
        <f>'WAN FAN Wi-Fi'!T154*0.2/0.8</f>
        <v>847.49584081071544</v>
      </c>
      <c r="P76" s="139">
        <f>'WAN FAN Wi-Fi'!U154*0.2/0.8</f>
        <v>1059.9620204472103</v>
      </c>
      <c r="Q76" s="139">
        <f>'WAN FAN Wi-Fi'!V154*0.2/0.8</f>
        <v>1330.4867724315257</v>
      </c>
      <c r="R76" s="139">
        <f>'WAN FAN Wi-Fi'!W154*0.2/0.8</f>
        <v>1591.7612402971254</v>
      </c>
      <c r="S76" s="139">
        <f>'WAN FAN Wi-Fi'!X154*0.2/0.8</f>
        <v>1937.5717459970394</v>
      </c>
      <c r="T76" s="139">
        <f>'WAN FAN Wi-Fi'!Y154*0.2/0.8</f>
        <v>2394.8270831906225</v>
      </c>
      <c r="U76" s="139">
        <f>'WAN FAN Wi-Fi'!Z154*0.2/0.8</f>
        <v>2999.8372865211436</v>
      </c>
      <c r="V76" s="139">
        <f>'WAN FAN Wi-Fi'!AA154*0.2/0.8</f>
        <v>3801.9026839964022</v>
      </c>
    </row>
    <row r="77" spans="1:22" ht="14.5" x14ac:dyDescent="0.35">
      <c r="A77" s="30" t="s">
        <v>30</v>
      </c>
      <c r="B77" s="139">
        <f>DataCenters!F9*0.2/0.8</f>
        <v>49.802239999999998</v>
      </c>
      <c r="C77" s="139">
        <f>DataCenters!G9*0.2/0.8*AD5</f>
        <v>61.540300799999997</v>
      </c>
      <c r="D77" s="139">
        <f>DataCenters!H9*0.2/0.8*AE5</f>
        <v>83.602498636799965</v>
      </c>
      <c r="E77" s="139">
        <f>DataCenters!I9*0.2/0.8*AF5</f>
        <v>94.124014709557969</v>
      </c>
      <c r="F77" s="139">
        <f>DataCenters!J9*0.2/0.8*AG5</f>
        <v>115.52994147038318</v>
      </c>
      <c r="G77" s="139">
        <f>DataCenters!K9*0.2/0.8*AH5</f>
        <v>141.79620948109655</v>
      </c>
      <c r="H77" s="139">
        <f>DataCenters!L9*0.2/0.8*AI5</f>
        <v>173.64353904660862</v>
      </c>
      <c r="I77" s="139">
        <f>DataCenters!M9*0.2/0.8*AJ5</f>
        <v>213.12926893075263</v>
      </c>
      <c r="J77" s="139">
        <f>DataCenters!N9*0.2/0.8*AK5</f>
        <v>261.60215449920389</v>
      </c>
      <c r="K77" s="139">
        <f>DataCenters!O9*0.2/0.8*AL5</f>
        <v>321.11692924276588</v>
      </c>
      <c r="L77" s="139">
        <f>DataCenters!P9*0.2/0.8*AM5</f>
        <v>394.20061315921419</v>
      </c>
      <c r="M77" s="139">
        <f>DataCenters!Q9*0.2/0.8*AN5</f>
        <v>484.6871753354784</v>
      </c>
      <c r="N77" s="139">
        <f>DataCenters!R9*0.2/0.8*AO5</f>
        <v>596.73624623817648</v>
      </c>
      <c r="O77" s="139">
        <f>DataCenters!S9*0.2/0.8*AP5</f>
        <v>735.4778658222707</v>
      </c>
      <c r="P77" s="139">
        <f>DataCenters!T9*0.2/0.8*AQ5</f>
        <v>907.67663661095378</v>
      </c>
      <c r="Q77" s="139">
        <f>DataCenters!U9*0.2/0.8*AR5</f>
        <v>1122.0205722010351</v>
      </c>
      <c r="R77" s="139">
        <f>DataCenters!V9*0.2/0.8*AS5</f>
        <v>1387.7675890608027</v>
      </c>
      <c r="S77" s="139">
        <f>DataCenters!W9*0.2/0.8*AT5</f>
        <v>1721.944257441073</v>
      </c>
      <c r="T77" s="139">
        <f>DataCenters!X9*0.2/0.8*AU5</f>
        <v>2143.9851904434081</v>
      </c>
      <c r="U77" s="139">
        <f>DataCenters!Y9*0.2/0.8*AV5</f>
        <v>2679.8959633615009</v>
      </c>
      <c r="V77" s="139">
        <f>DataCenters!Z9*0.2/0.8*AW5</f>
        <v>3364.8806896072788</v>
      </c>
    </row>
    <row r="78" spans="1:22" s="66" customFormat="1" ht="15" x14ac:dyDescent="0.3">
      <c r="A78" s="65" t="s">
        <v>31</v>
      </c>
      <c r="B78" s="65">
        <f>SUM(B64:B77)</f>
        <v>799.75351952941173</v>
      </c>
      <c r="C78" s="65">
        <f t="shared" ref="C78:V78" si="55">SUM(C64:C77)</f>
        <v>841.59347138424459</v>
      </c>
      <c r="D78" s="65">
        <f t="shared" si="55"/>
        <v>907.5411057968779</v>
      </c>
      <c r="E78" s="65">
        <f t="shared" si="55"/>
        <v>969.48066571909817</v>
      </c>
      <c r="F78" s="65">
        <f t="shared" si="55"/>
        <v>1048.9181768928845</v>
      </c>
      <c r="G78" s="65">
        <f t="shared" si="55"/>
        <v>1143.9136447330502</v>
      </c>
      <c r="H78" s="65">
        <f t="shared" si="55"/>
        <v>1233.7090298839153</v>
      </c>
      <c r="I78" s="65">
        <f t="shared" si="55"/>
        <v>1339.2161710379858</v>
      </c>
      <c r="J78" s="65">
        <f t="shared" si="55"/>
        <v>1471.6341090287781</v>
      </c>
      <c r="K78" s="65">
        <f t="shared" si="55"/>
        <v>1631.8784754698891</v>
      </c>
      <c r="L78" s="65">
        <f t="shared" si="55"/>
        <v>1806.3457987683687</v>
      </c>
      <c r="M78" s="65">
        <f t="shared" si="55"/>
        <v>1985.9256604939947</v>
      </c>
      <c r="N78" s="65">
        <f t="shared" si="55"/>
        <v>2217.1605659981237</v>
      </c>
      <c r="O78" s="65">
        <f t="shared" si="55"/>
        <v>2524.8318056441003</v>
      </c>
      <c r="P78" s="65">
        <f t="shared" si="55"/>
        <v>2910.6620764816826</v>
      </c>
      <c r="Q78" s="65">
        <f t="shared" si="55"/>
        <v>3400.9646304198363</v>
      </c>
      <c r="R78" s="65">
        <f t="shared" si="55"/>
        <v>3937.6895667268045</v>
      </c>
      <c r="S78" s="65">
        <f t="shared" si="55"/>
        <v>4631.7547012372779</v>
      </c>
      <c r="T78" s="65">
        <f t="shared" si="55"/>
        <v>5529.7102742010193</v>
      </c>
      <c r="U78" s="65">
        <f t="shared" si="55"/>
        <v>6694.1812968387367</v>
      </c>
      <c r="V78" s="65">
        <f t="shared" si="55"/>
        <v>8210.0873681855173</v>
      </c>
    </row>
    <row r="85" spans="3:24" x14ac:dyDescent="0.3">
      <c r="D85">
        <v>2010</v>
      </c>
      <c r="E85" s="146">
        <v>2011</v>
      </c>
      <c r="F85">
        <v>2012</v>
      </c>
      <c r="G85" s="146">
        <v>2013</v>
      </c>
      <c r="H85">
        <v>2014</v>
      </c>
      <c r="I85" s="146">
        <v>2015</v>
      </c>
      <c r="J85">
        <v>2016</v>
      </c>
      <c r="K85" s="146">
        <v>2017</v>
      </c>
      <c r="L85" s="146">
        <v>2018</v>
      </c>
      <c r="M85" s="146">
        <v>2019</v>
      </c>
      <c r="N85" s="146">
        <v>2020</v>
      </c>
      <c r="O85" s="7">
        <v>2021</v>
      </c>
      <c r="P85" s="7">
        <v>2022</v>
      </c>
      <c r="Q85" s="7">
        <v>2023</v>
      </c>
      <c r="R85" s="7">
        <v>2024</v>
      </c>
      <c r="S85" s="7">
        <v>2025</v>
      </c>
      <c r="T85" s="7">
        <v>2026</v>
      </c>
      <c r="U85" s="7">
        <v>2027</v>
      </c>
      <c r="V85" s="7">
        <v>2028</v>
      </c>
      <c r="W85" s="7">
        <v>2029</v>
      </c>
      <c r="X85" s="7">
        <v>2030</v>
      </c>
    </row>
    <row r="86" spans="3:24" x14ac:dyDescent="0.3">
      <c r="C86" s="36" t="s">
        <v>173</v>
      </c>
      <c r="D86" s="18">
        <f>B41</f>
        <v>190.34407298919569</v>
      </c>
      <c r="E86" s="18">
        <f t="shared" ref="E86:V86" si="56">C41</f>
        <v>191.7131544083673</v>
      </c>
      <c r="F86" s="18">
        <f t="shared" si="56"/>
        <v>196.37195370757857</v>
      </c>
      <c r="G86" s="18">
        <f t="shared" si="56"/>
        <v>201.84949930120683</v>
      </c>
      <c r="H86" s="18">
        <f t="shared" si="56"/>
        <v>206.31892103747504</v>
      </c>
      <c r="I86" s="18">
        <f t="shared" si="56"/>
        <v>213.68581834688101</v>
      </c>
      <c r="J86" s="18">
        <f t="shared" si="56"/>
        <v>215.19442612624422</v>
      </c>
      <c r="K86" s="18">
        <f t="shared" si="56"/>
        <v>217.74369986750409</v>
      </c>
      <c r="L86" s="18">
        <f t="shared" si="56"/>
        <v>221.51625465840661</v>
      </c>
      <c r="M86" s="18">
        <f t="shared" si="56"/>
        <v>226.56408155507754</v>
      </c>
      <c r="N86" s="18">
        <f t="shared" si="56"/>
        <v>229.08992631802354</v>
      </c>
      <c r="O86" s="18">
        <f t="shared" si="56"/>
        <v>213.45034159517397</v>
      </c>
      <c r="P86" s="18">
        <f t="shared" si="56"/>
        <v>200.05831638591664</v>
      </c>
      <c r="Q86" s="18">
        <f t="shared" si="56"/>
        <v>188.47234129521732</v>
      </c>
      <c r="R86" s="18">
        <f t="shared" si="56"/>
        <v>178.55712461896104</v>
      </c>
      <c r="S86" s="18">
        <f t="shared" si="56"/>
        <v>170.12855461628834</v>
      </c>
      <c r="T86" s="18">
        <f t="shared" si="56"/>
        <v>163.44986113487138</v>
      </c>
      <c r="U86" s="18">
        <f t="shared" si="56"/>
        <v>158.15936268195978</v>
      </c>
      <c r="V86" s="18">
        <f t="shared" si="56"/>
        <v>154.14458154331402</v>
      </c>
      <c r="W86" s="18">
        <f>U41</f>
        <v>151.55674371153464</v>
      </c>
      <c r="X86" s="18">
        <f>V41</f>
        <v>150.52759980747419</v>
      </c>
    </row>
    <row r="87" spans="3:24" x14ac:dyDescent="0.3">
      <c r="C87" s="36" t="s">
        <v>174</v>
      </c>
      <c r="D87" s="297">
        <f>B60</f>
        <v>291.43102177671062</v>
      </c>
      <c r="E87" s="297">
        <f t="shared" ref="E87:V87" si="57">C60</f>
        <v>297.00104642547245</v>
      </c>
      <c r="F87" s="297">
        <f t="shared" si="57"/>
        <v>308.63237017224498</v>
      </c>
      <c r="G87" s="297">
        <f t="shared" si="57"/>
        <v>317.22924126904206</v>
      </c>
      <c r="H87" s="297">
        <f t="shared" si="57"/>
        <v>327.85381452986945</v>
      </c>
      <c r="I87" s="297">
        <f t="shared" si="57"/>
        <v>341.8162073076362</v>
      </c>
      <c r="J87" s="297">
        <f t="shared" si="57"/>
        <v>347.82077257284084</v>
      </c>
      <c r="K87" s="297">
        <f t="shared" si="57"/>
        <v>354.94108535977614</v>
      </c>
      <c r="L87" s="297">
        <f t="shared" si="57"/>
        <v>363.5650925999679</v>
      </c>
      <c r="M87" s="297">
        <f t="shared" si="57"/>
        <v>373.65504561707081</v>
      </c>
      <c r="N87" s="297">
        <f t="shared" si="57"/>
        <v>380.72556712639556</v>
      </c>
      <c r="O87" s="297">
        <f t="shared" si="57"/>
        <v>357.87211632784187</v>
      </c>
      <c r="P87" s="297">
        <f t="shared" si="57"/>
        <v>339.03203032465109</v>
      </c>
      <c r="Q87" s="297">
        <f t="shared" si="57"/>
        <v>323.68619512451198</v>
      </c>
      <c r="R87" s="297">
        <f t="shared" si="57"/>
        <v>311.37934948075281</v>
      </c>
      <c r="S87" s="297">
        <f t="shared" si="57"/>
        <v>301.78118722120519</v>
      </c>
      <c r="T87" s="297">
        <f t="shared" si="57"/>
        <v>295.27211890949917</v>
      </c>
      <c r="U87" s="297">
        <f t="shared" si="57"/>
        <v>291.48660096467916</v>
      </c>
      <c r="V87" s="297">
        <f t="shared" si="57"/>
        <v>290.32131988346475</v>
      </c>
      <c r="W87" s="297">
        <f>U60</f>
        <v>292.30166653406218</v>
      </c>
      <c r="X87" s="297">
        <f>V60</f>
        <v>298.03786185519311</v>
      </c>
    </row>
    <row r="88" spans="3:24" x14ac:dyDescent="0.3">
      <c r="C88" s="36" t="s">
        <v>175</v>
      </c>
      <c r="D88" s="297">
        <f>B78</f>
        <v>799.75351952941173</v>
      </c>
      <c r="E88" s="297">
        <f t="shared" ref="E88:V88" si="58">C78</f>
        <v>841.59347138424459</v>
      </c>
      <c r="F88" s="297">
        <f t="shared" si="58"/>
        <v>907.5411057968779</v>
      </c>
      <c r="G88" s="297">
        <f t="shared" si="58"/>
        <v>969.48066571909817</v>
      </c>
      <c r="H88" s="297">
        <f t="shared" si="58"/>
        <v>1048.9181768928845</v>
      </c>
      <c r="I88" s="297">
        <f t="shared" si="58"/>
        <v>1143.9136447330502</v>
      </c>
      <c r="J88" s="297">
        <f t="shared" si="58"/>
        <v>1233.7090298839153</v>
      </c>
      <c r="K88" s="297">
        <f t="shared" si="58"/>
        <v>1339.2161710379858</v>
      </c>
      <c r="L88" s="297">
        <f t="shared" si="58"/>
        <v>1471.6341090287781</v>
      </c>
      <c r="M88" s="297">
        <f t="shared" si="58"/>
        <v>1631.8784754698891</v>
      </c>
      <c r="N88" s="297">
        <f t="shared" si="58"/>
        <v>1806.3457987683687</v>
      </c>
      <c r="O88" s="297">
        <f t="shared" si="58"/>
        <v>1985.9256604939947</v>
      </c>
      <c r="P88" s="297">
        <f t="shared" si="58"/>
        <v>2217.1605659981237</v>
      </c>
      <c r="Q88" s="297">
        <f t="shared" si="58"/>
        <v>2524.8318056441003</v>
      </c>
      <c r="R88" s="297">
        <f t="shared" si="58"/>
        <v>2910.6620764816826</v>
      </c>
      <c r="S88" s="297">
        <f t="shared" si="58"/>
        <v>3400.9646304198363</v>
      </c>
      <c r="T88" s="297">
        <f t="shared" si="58"/>
        <v>3937.6895667268045</v>
      </c>
      <c r="U88" s="297">
        <f t="shared" si="58"/>
        <v>4631.7547012372779</v>
      </c>
      <c r="V88" s="297">
        <f t="shared" si="58"/>
        <v>5529.7102742010193</v>
      </c>
      <c r="W88" s="297">
        <f>U78</f>
        <v>6694.1812968387367</v>
      </c>
      <c r="X88" s="297">
        <f>V78</f>
        <v>8210.0873681855173</v>
      </c>
    </row>
  </sheetData>
  <phoneticPr fontId="6" type="noConversion"/>
  <pageMargins left="0.75" right="0.75" top="1" bottom="1" header="0.5" footer="0.5"/>
  <pageSetup orientation="portrait" horizontalDpi="200" verticalDpi="2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14"/>
  <sheetViews>
    <sheetView zoomScale="30" zoomScaleNormal="30" workbookViewId="0">
      <selection activeCell="Z63" sqref="Z63"/>
    </sheetView>
  </sheetViews>
  <sheetFormatPr defaultColWidth="11" defaultRowHeight="13.5" x14ac:dyDescent="0.3"/>
  <cols>
    <col min="1" max="1" width="49.23046875" customWidth="1"/>
    <col min="2" max="2" width="20.15234375" customWidth="1"/>
    <col min="3" max="3" width="12.84375" customWidth="1"/>
    <col min="4" max="4" width="17.765625" bestFit="1" customWidth="1"/>
    <col min="5" max="5" width="17.765625" customWidth="1"/>
    <col min="6" max="6" width="20.61328125" customWidth="1"/>
    <col min="7" max="7" width="24.23046875" customWidth="1"/>
    <col min="8" max="8" width="14.84375" customWidth="1"/>
    <col min="9" max="9" width="16.3828125" customWidth="1"/>
    <col min="10" max="10" width="19.4609375" customWidth="1"/>
    <col min="11" max="11" width="17.15234375" customWidth="1"/>
    <col min="12" max="12" width="18.84375" customWidth="1"/>
    <col min="13" max="13" width="16.23046875" customWidth="1"/>
    <col min="32" max="32" width="11" customWidth="1"/>
  </cols>
  <sheetData>
    <row r="1" spans="1:33" ht="14" thickBot="1" x14ac:dyDescent="0.35">
      <c r="A1" s="15" t="s">
        <v>53</v>
      </c>
      <c r="B1" s="10">
        <v>2010</v>
      </c>
      <c r="C1" s="10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  <c r="W1" t="s">
        <v>106</v>
      </c>
      <c r="AE1" t="s">
        <v>127</v>
      </c>
    </row>
    <row r="2" spans="1:33" ht="15" thickBot="1" x14ac:dyDescent="0.4">
      <c r="A2" s="147" t="s">
        <v>327</v>
      </c>
      <c r="B2" s="284">
        <f>'WAN FAN Wi-Fi'!G106+DataCenters!F7+'Cons Dev Best '!D32+Production!B41</f>
        <v>1489.4196494597838</v>
      </c>
      <c r="C2" s="284">
        <f>'WAN FAN Wi-Fi'!H106+DataCenters!G7+'Cons Dev Best '!E32+Production!C41</f>
        <v>1477.4563179183672</v>
      </c>
      <c r="D2" s="284">
        <f>'WAN FAN Wi-Fi'!I106+DataCenters!H7+'Cons Dev Best '!F32+Production!D41</f>
        <v>1498.0774071558028</v>
      </c>
      <c r="E2" s="284">
        <f>'WAN FAN Wi-Fi'!J106+DataCenters!I7+'Cons Dev Best '!G32+Production!E41</f>
        <v>1437.3774894491958</v>
      </c>
      <c r="F2" s="284">
        <f>'WAN FAN Wi-Fi'!K106+DataCenters!J7+'Cons Dev Best '!H32+Production!F41</f>
        <v>1389.80728483702</v>
      </c>
      <c r="G2" s="284">
        <f>'WAN FAN Wi-Fi'!L106+DataCenters!K7+'Cons Dev Best '!I32+Production!G41</f>
        <v>1350.1338226050268</v>
      </c>
      <c r="H2" s="284">
        <f>'WAN FAN Wi-Fi'!M106+DataCenters!L7+'Cons Dev Best '!J32+Production!H41</f>
        <v>1309.2717521356853</v>
      </c>
      <c r="I2" s="284">
        <f>'WAN FAN Wi-Fi'!N106+DataCenters!M7+'Cons Dev Best '!K32+Production!I41</f>
        <v>1273.8088940892421</v>
      </c>
      <c r="J2" s="284">
        <f>'WAN FAN Wi-Fi'!O106+DataCenters!N7+'Cons Dev Best '!L32+Production!J41</f>
        <v>1247.4265678042671</v>
      </c>
      <c r="K2" s="284">
        <f>'WAN FAN Wi-Fi'!P106+DataCenters!O7+'Cons Dev Best '!M32+Production!K41</f>
        <v>1225.5985532590714</v>
      </c>
      <c r="L2" s="284">
        <f>'WAN FAN Wi-Fi'!Q106+DataCenters!P7+'Cons Dev Best '!N32+Production!L41</f>
        <v>1204.4156416781418</v>
      </c>
      <c r="M2" s="284">
        <f>'WAN FAN Wi-Fi'!R106+DataCenters!Q7+'Cons Dev Best '!O32+Production!M41</f>
        <v>1154.8626087176358</v>
      </c>
      <c r="N2" s="284">
        <f>'WAN FAN Wi-Fi'!S106+DataCenters!R7+'Cons Dev Best '!P32+Production!N41</f>
        <v>1113.1874057047908</v>
      </c>
      <c r="O2" s="284">
        <f>'WAN FAN Wi-Fi'!T106+DataCenters!S7+'Cons Dev Best '!Q32+Production!O41</f>
        <v>1070.9547745995339</v>
      </c>
      <c r="P2" s="284">
        <f>'WAN FAN Wi-Fi'!U106+DataCenters!T7+'Cons Dev Best '!R32+Production!P41</f>
        <v>1042.2902147750101</v>
      </c>
      <c r="Q2" s="284">
        <f>'WAN FAN Wi-Fi'!V106+DataCenters!U7+'Cons Dev Best '!S32+Production!Q41</f>
        <v>1025.8209572249134</v>
      </c>
      <c r="R2" s="284">
        <f>'WAN FAN Wi-Fi'!W106+DataCenters!V7+'Cons Dev Best '!T32+Production!R41</f>
        <v>1043.4383368633098</v>
      </c>
      <c r="S2" s="284">
        <f>'WAN FAN Wi-Fi'!X106+DataCenters!W7+'Cons Dev Best '!U32+Production!S41</f>
        <v>1081.5142358415533</v>
      </c>
      <c r="T2" s="284">
        <f>'WAN FAN Wi-Fi'!Y106+DataCenters!X7+'Cons Dev Best '!V32+Production!T41</f>
        <v>1138.4832554032887</v>
      </c>
      <c r="U2" s="284">
        <f>'WAN FAN Wi-Fi'!Z106+DataCenters!Y7+'Cons Dev Best '!W32+Production!U41</f>
        <v>1226.8990813242644</v>
      </c>
      <c r="V2" s="284">
        <f>'WAN FAN Wi-Fi'!AA106+DataCenters!Z7+'Cons Dev Best '!X32+Production!V41</f>
        <v>1357.2177688060731</v>
      </c>
      <c r="W2" s="22">
        <f>(V2/B2)^(1/20)</f>
        <v>0.99536329779872901</v>
      </c>
    </row>
    <row r="3" spans="1:33" ht="15" thickBot="1" x14ac:dyDescent="0.4">
      <c r="A3" s="141" t="s">
        <v>328</v>
      </c>
      <c r="B3" s="285">
        <f>'WAN FAN Wi-Fi'!G130+DataCenters!F8+'Cons Dev Expe'!D33+Production!B60</f>
        <v>1941.906588835534</v>
      </c>
      <c r="C3" s="285">
        <f>'WAN FAN Wi-Fi'!H130+DataCenters!G8+'Cons Dev Expe'!E33+Production!C60</f>
        <v>1947.1383793986254</v>
      </c>
      <c r="D3" s="285">
        <f>'WAN FAN Wi-Fi'!I130+DataCenters!H8+'Cons Dev Expe'!F33+Production!D60</f>
        <v>1989.9879565682199</v>
      </c>
      <c r="E3" s="285">
        <f>'WAN FAN Wi-Fi'!J130+DataCenters!I8+'Cons Dev Expe'!G33+Production!E60</f>
        <v>1950.857454724925</v>
      </c>
      <c r="F3" s="285">
        <f>'WAN FAN Wi-Fi'!K130+DataCenters!J8+'Cons Dev Expe'!H33+Production!F60</f>
        <v>1940.1882951741463</v>
      </c>
      <c r="G3" s="285">
        <f>'WAN FAN Wi-Fi'!L130+DataCenters!K8+'Cons Dev Expe'!I33+Production!G60</f>
        <v>1938.0801169429008</v>
      </c>
      <c r="H3" s="285">
        <f>'WAN FAN Wi-Fi'!M130+DataCenters!L8+'Cons Dev Expe'!J33+Production!H60</f>
        <v>1933.9489974797725</v>
      </c>
      <c r="I3" s="285">
        <f>'WAN FAN Wi-Fi'!N130+DataCenters!M8+'Cons Dev Expe'!K33+Production!I60</f>
        <v>1927.1164087645693</v>
      </c>
      <c r="J3" s="285">
        <f>'WAN FAN Wi-Fi'!O130+DataCenters!N8+'Cons Dev Expe'!L33+Production!J60</f>
        <v>1935.3716395681736</v>
      </c>
      <c r="K3" s="285">
        <f>'WAN FAN Wi-Fi'!P130+DataCenters!O8+'Cons Dev Expe'!M33+Production!K60</f>
        <v>1950.1139272889127</v>
      </c>
      <c r="L3" s="285">
        <f>'WAN FAN Wi-Fi'!Q130+DataCenters!P8+'Cons Dev Expe'!N33+Production!L60</f>
        <v>1987.9809835698884</v>
      </c>
      <c r="M3" s="285">
        <f>'WAN FAN Wi-Fi'!R130+DataCenters!Q8+'Cons Dev Expe'!O33+Production!M60</f>
        <v>1985.5882686426348</v>
      </c>
      <c r="N3" s="285">
        <f>'WAN FAN Wi-Fi'!S130+DataCenters!R8+'Cons Dev Expe'!P33+Production!N60</f>
        <v>1987.0356098822194</v>
      </c>
      <c r="O3" s="285">
        <f>'WAN FAN Wi-Fi'!T130+DataCenters!S8+'Cons Dev Expe'!Q33+Production!O60</f>
        <v>1996.5815563533833</v>
      </c>
      <c r="P3" s="285">
        <f>'WAN FAN Wi-Fi'!U130+DataCenters!T8+'Cons Dev Expe'!R33+Production!P60</f>
        <v>2015.3545888699466</v>
      </c>
      <c r="Q3" s="285">
        <f>'WAN FAN Wi-Fi'!V130+DataCenters!U8+'Cons Dev Expe'!S33+Production!Q60</f>
        <v>2045.7684307134173</v>
      </c>
      <c r="R3" s="285">
        <f>'WAN FAN Wi-Fi'!W130+DataCenters!V8+'Cons Dev Expe'!T33+Production!R60</f>
        <v>2139.4747069892446</v>
      </c>
      <c r="S3" s="285">
        <f>'WAN FAN Wi-Fi'!X130+DataCenters!W8+'Cons Dev Expe'!U33+Production!S60</f>
        <v>2287.7023986916647</v>
      </c>
      <c r="T3" s="285">
        <f>'WAN FAN Wi-Fi'!Y130+DataCenters!X8+'Cons Dev Expe'!V33+Production!T60</f>
        <v>2493.0544470981463</v>
      </c>
      <c r="U3" s="285">
        <f>'WAN FAN Wi-Fi'!Z130+DataCenters!Y8+'Cons Dev Expe'!W33+Production!U60</f>
        <v>2790.8321616365556</v>
      </c>
      <c r="V3" s="285">
        <f>'WAN FAN Wi-Fi'!AA130+DataCenters!Z8+'Cons Dev Expe'!X33+Production!V60</f>
        <v>3218.3719865675844</v>
      </c>
      <c r="W3" s="22">
        <f>(V3/B3)^(1/20)</f>
        <v>1.0255820124447532</v>
      </c>
    </row>
    <row r="4" spans="1:33" ht="14.5" x14ac:dyDescent="0.35">
      <c r="A4" s="140" t="s">
        <v>295</v>
      </c>
      <c r="B4" s="286">
        <f>'WAN FAN Wi-Fi'!G154+DataCenters!F9+'Cons Dev Worst'!D33+Production!B78</f>
        <v>2722.5055976470589</v>
      </c>
      <c r="C4" s="286">
        <f>'WAN FAN Wi-Fi'!H154+DataCenters!G9+'Cons Dev Worst'!E33+Production!C78</f>
        <v>2832.2251297928092</v>
      </c>
      <c r="D4" s="286">
        <f>'WAN FAN Wi-Fi'!I154+DataCenters!H9+'Cons Dev Worst'!F33+Production!D78</f>
        <v>3022.2310103967529</v>
      </c>
      <c r="E4" s="286">
        <f>'WAN FAN Wi-Fi'!J154+DataCenters!I9+'Cons Dev Worst'!G33+Production!E78</f>
        <v>3190.025669990021</v>
      </c>
      <c r="F4" s="286">
        <f>'WAN FAN Wi-Fi'!K154+DataCenters!J9+'Cons Dev Worst'!H33+Production!F78</f>
        <v>3442.0395645846347</v>
      </c>
      <c r="G4" s="286">
        <f>'WAN FAN Wi-Fi'!L154+DataCenters!K9+'Cons Dev Worst'!I33+Production!G78</f>
        <v>3753.1146363204612</v>
      </c>
      <c r="H4" s="286">
        <f>'WAN FAN Wi-Fi'!M154+DataCenters!L9+'Cons Dev Worst'!J33+Production!H78</f>
        <v>4106.2660748334893</v>
      </c>
      <c r="I4" s="286">
        <f>'WAN FAN Wi-Fi'!N154+DataCenters!M9+'Cons Dev Worst'!K33+Production!I78</f>
        <v>4535.3405992890703</v>
      </c>
      <c r="J4" s="286">
        <f>'WAN FAN Wi-Fi'!O154+DataCenters!N9+'Cons Dev Worst'!L33+Production!J78</f>
        <v>5094.88178122507</v>
      </c>
      <c r="K4" s="286">
        <f>'WAN FAN Wi-Fi'!P154+DataCenters!O9+'Cons Dev Worst'!M33+Production!K78</f>
        <v>5790.1276594488163</v>
      </c>
      <c r="L4" s="286">
        <f>'WAN FAN Wi-Fi'!Q154+DataCenters!P9+'Cons Dev Worst'!N33+Production!L78</f>
        <v>6642.575856660118</v>
      </c>
      <c r="M4" s="286">
        <f>'WAN FAN Wi-Fi'!R154+DataCenters!Q9+'Cons Dev Worst'!O33+Production!M78</f>
        <v>7668.3211997495819</v>
      </c>
      <c r="N4" s="286">
        <f>'WAN FAN Wi-Fi'!S154+DataCenters!R9+'Cons Dev Worst'!P33+Production!N78</f>
        <v>8939.2335495605312</v>
      </c>
      <c r="O4" s="286">
        <f>'WAN FAN Wi-Fi'!T154+DataCenters!S9+'Cons Dev Worst'!Q33+Production!O78</f>
        <v>10588.591514108726</v>
      </c>
      <c r="P4" s="286">
        <f>'WAN FAN Wi-Fi'!U154+DataCenters!T9+'Cons Dev Worst'!R33+Production!P78</f>
        <v>12634.871454587694</v>
      </c>
      <c r="Q4" s="286">
        <f>'WAN FAN Wi-Fi'!V154+DataCenters!U9+'Cons Dev Worst'!S33+Production!Q78</f>
        <v>15220.978569583687</v>
      </c>
      <c r="R4" s="286">
        <f>'WAN FAN Wi-Fi'!W154+DataCenters!V9+'Cons Dev Worst'!T33+Production!R78</f>
        <v>18069.446078627276</v>
      </c>
      <c r="S4" s="286">
        <f>'WAN FAN Wi-Fi'!X154+DataCenters!W9+'Cons Dev Worst'!U33+Production!S78</f>
        <v>21754.667754367445</v>
      </c>
      <c r="T4" s="286">
        <f>'WAN FAN Wi-Fi'!Y154+DataCenters!X9+'Cons Dev Worst'!V33+Production!T78</f>
        <v>26550.325942947304</v>
      </c>
      <c r="U4" s="286">
        <f>'WAN FAN Wi-Fi'!Z154+DataCenters!Y9+'Cons Dev Worst'!W33+Production!U78</f>
        <v>32802.318316381927</v>
      </c>
      <c r="V4" s="286">
        <f>'WAN FAN Wi-Fi'!AA154+DataCenters!Z9+'Cons Dev Worst'!X33+Production!V78</f>
        <v>40981.325303137412</v>
      </c>
      <c r="W4" s="22">
        <f>(V4/B4)^(1/20)</f>
        <v>1.1451987383225337</v>
      </c>
    </row>
    <row r="5" spans="1:33" x14ac:dyDescent="0.3">
      <c r="B5" s="10">
        <v>2010</v>
      </c>
      <c r="C5" s="10">
        <v>2011</v>
      </c>
      <c r="D5" s="1">
        <v>2012</v>
      </c>
      <c r="E5" s="1">
        <v>2013</v>
      </c>
      <c r="F5" s="1">
        <v>2014</v>
      </c>
      <c r="G5" s="1">
        <v>2015</v>
      </c>
      <c r="H5" s="1">
        <v>2016</v>
      </c>
      <c r="I5" s="1">
        <v>2017</v>
      </c>
      <c r="J5" s="1">
        <v>2018</v>
      </c>
      <c r="K5" s="1">
        <v>2019</v>
      </c>
      <c r="L5" s="1">
        <v>2020</v>
      </c>
      <c r="M5" s="1">
        <v>2021</v>
      </c>
      <c r="N5" s="1">
        <v>2022</v>
      </c>
      <c r="O5" s="1">
        <v>2023</v>
      </c>
      <c r="P5" s="1">
        <v>2024</v>
      </c>
      <c r="Q5" s="1">
        <v>2025</v>
      </c>
      <c r="R5" s="1">
        <v>2026</v>
      </c>
      <c r="S5" s="1">
        <v>2027</v>
      </c>
      <c r="T5" s="1">
        <v>2028</v>
      </c>
      <c r="U5" s="1">
        <v>2029</v>
      </c>
      <c r="V5" s="1">
        <v>2030</v>
      </c>
    </row>
    <row r="6" spans="1:33" ht="14.5" x14ac:dyDescent="0.35">
      <c r="A6" s="137" t="s">
        <v>54</v>
      </c>
      <c r="B6" s="148">
        <f>B2*B$33/1000</f>
        <v>0.87356927003437346</v>
      </c>
      <c r="C6" s="148">
        <f>C2*C$33/1000</f>
        <v>0.8594805649398245</v>
      </c>
      <c r="D6" s="148">
        <f t="shared" ref="D6:T6" si="0">D2*D$33/1000</f>
        <v>0.86509703952392081</v>
      </c>
      <c r="E6" s="148">
        <f t="shared" si="0"/>
        <v>0.82285390011653847</v>
      </c>
      <c r="F6" s="148">
        <f t="shared" si="0"/>
        <v>0.78866994814935054</v>
      </c>
      <c r="G6" s="148">
        <f t="shared" si="0"/>
        <v>0.75934459386607533</v>
      </c>
      <c r="H6" s="148">
        <f t="shared" si="0"/>
        <v>0.72960356293181328</v>
      </c>
      <c r="I6" s="148">
        <f t="shared" si="0"/>
        <v>0.70317706978510652</v>
      </c>
      <c r="J6" s="148">
        <f t="shared" si="0"/>
        <v>0.68203063706711609</v>
      </c>
      <c r="K6" s="148">
        <f t="shared" si="0"/>
        <v>0.66785365164282418</v>
      </c>
      <c r="L6" s="148">
        <f t="shared" si="0"/>
        <v>0.65410668891717794</v>
      </c>
      <c r="M6" s="148">
        <f t="shared" si="0"/>
        <v>0.62483633692160656</v>
      </c>
      <c r="N6" s="148">
        <f t="shared" si="0"/>
        <v>0.6000774415486938</v>
      </c>
      <c r="O6" s="148">
        <f t="shared" si="0"/>
        <v>0.57517837157585749</v>
      </c>
      <c r="P6" s="148">
        <f t="shared" si="0"/>
        <v>0.5578052903700087</v>
      </c>
      <c r="Q6" s="148">
        <f t="shared" si="0"/>
        <v>0.54712698322506481</v>
      </c>
      <c r="R6" s="148">
        <f t="shared" si="0"/>
        <v>0.55486365055609377</v>
      </c>
      <c r="S6" s="148">
        <f t="shared" si="0"/>
        <v>0.57352493364163926</v>
      </c>
      <c r="T6" s="148">
        <f t="shared" si="0"/>
        <v>0.60218715942248879</v>
      </c>
      <c r="U6" s="148">
        <f>U2*U$33/1000</f>
        <v>0.64750757229185674</v>
      </c>
      <c r="V6" s="148">
        <f>V2*V$33/1000</f>
        <v>0.71500492902226931</v>
      </c>
      <c r="AG6" s="36"/>
    </row>
    <row r="7" spans="1:33" ht="14.5" x14ac:dyDescent="0.35">
      <c r="A7" s="141" t="s">
        <v>55</v>
      </c>
      <c r="B7" s="149">
        <f>B3*B$36/1000</f>
        <v>1.1386541270771962</v>
      </c>
      <c r="C7" s="149">
        <f>C3*C$36/1000</f>
        <v>1.1324041831520346</v>
      </c>
      <c r="D7" s="149">
        <f>D3*D$36/1000</f>
        <v>1.1488524939342646</v>
      </c>
      <c r="E7" s="149">
        <f>E3*E$36/1000</f>
        <v>1.1165050715424136</v>
      </c>
      <c r="F7" s="149">
        <f t="shared" ref="F7:U7" si="1">F3*F$36/1000</f>
        <v>1.1006972392490979</v>
      </c>
      <c r="G7" s="149">
        <f t="shared" si="1"/>
        <v>1.089725519126471</v>
      </c>
      <c r="H7" s="149">
        <f t="shared" si="1"/>
        <v>1.0774211367888702</v>
      </c>
      <c r="I7" s="149">
        <f t="shared" si="1"/>
        <v>1.0635348347937357</v>
      </c>
      <c r="J7" s="149">
        <f t="shared" si="1"/>
        <v>1.0578805552404076</v>
      </c>
      <c r="K7" s="149">
        <f t="shared" si="1"/>
        <v>1.0626639090101397</v>
      </c>
      <c r="L7" s="149">
        <f t="shared" si="1"/>
        <v>1.0802750003082666</v>
      </c>
      <c r="M7" s="149">
        <f t="shared" si="1"/>
        <v>1.0753419107265638</v>
      </c>
      <c r="N7" s="149">
        <f t="shared" si="1"/>
        <v>1.0725278603272761</v>
      </c>
      <c r="O7" s="149">
        <f t="shared" si="1"/>
        <v>1.074160805241682</v>
      </c>
      <c r="P7" s="149">
        <f t="shared" si="1"/>
        <v>1.080815410604101</v>
      </c>
      <c r="Q7" s="149">
        <f t="shared" si="1"/>
        <v>1.0937659236207344</v>
      </c>
      <c r="R7" s="149">
        <f t="shared" si="1"/>
        <v>1.1412326228032474</v>
      </c>
      <c r="S7" s="149">
        <f t="shared" si="1"/>
        <v>1.2182387948237283</v>
      </c>
      <c r="T7" s="149">
        <f t="shared" si="1"/>
        <v>1.3261524813135397</v>
      </c>
      <c r="U7" s="149">
        <f t="shared" si="1"/>
        <v>1.4843842454656573</v>
      </c>
      <c r="V7" s="149">
        <f>V3*V$36/1000</f>
        <v>1.7138201683396397</v>
      </c>
    </row>
    <row r="8" spans="1:33" ht="14.5" x14ac:dyDescent="0.35">
      <c r="A8" s="140" t="s">
        <v>56</v>
      </c>
      <c r="B8" s="150">
        <f>B4*B$39/1000</f>
        <v>1.703118926623008</v>
      </c>
      <c r="C8" s="150">
        <f>C4*C$39/1000</f>
        <v>1.760981999825417</v>
      </c>
      <c r="D8" s="150">
        <f t="shared" ref="D8:U8" si="2">D4*D$39/1000</f>
        <v>1.8690444581764627</v>
      </c>
      <c r="E8" s="150">
        <f t="shared" si="2"/>
        <v>1.961157680016455</v>
      </c>
      <c r="F8" s="150">
        <f t="shared" si="2"/>
        <v>2.1051438995631586</v>
      </c>
      <c r="G8" s="150">
        <f t="shared" si="2"/>
        <v>2.2843923768203616</v>
      </c>
      <c r="H8" s="150">
        <f t="shared" si="2"/>
        <v>2.4877018914125006</v>
      </c>
      <c r="I8" s="150">
        <f t="shared" si="2"/>
        <v>2.736154327517677</v>
      </c>
      <c r="J8" s="150">
        <f t="shared" si="2"/>
        <v>3.0638952184381107</v>
      </c>
      <c r="K8" s="150">
        <f t="shared" si="2"/>
        <v>3.5074367710188552</v>
      </c>
      <c r="L8" s="150">
        <f t="shared" si="2"/>
        <v>4.0559334340071924</v>
      </c>
      <c r="M8" s="150">
        <f t="shared" si="2"/>
        <v>4.7221369763335828</v>
      </c>
      <c r="N8" s="150">
        <f t="shared" si="2"/>
        <v>5.5560358048308975</v>
      </c>
      <c r="O8" s="150">
        <f t="shared" si="2"/>
        <v>6.6508121007292393</v>
      </c>
      <c r="P8" s="150">
        <f t="shared" si="2"/>
        <v>8.0260627701544731</v>
      </c>
      <c r="Q8" s="150">
        <f t="shared" si="2"/>
        <v>9.7871936621696811</v>
      </c>
      <c r="R8" s="150">
        <f t="shared" si="2"/>
        <v>11.750372671139051</v>
      </c>
      <c r="S8" s="150">
        <f t="shared" si="2"/>
        <v>14.32258866200535</v>
      </c>
      <c r="T8" s="150">
        <f t="shared" si="2"/>
        <v>17.714503755506296</v>
      </c>
      <c r="U8" s="150">
        <f t="shared" si="2"/>
        <v>22.196251706818948</v>
      </c>
      <c r="V8" s="150">
        <f>V4*V$39/1000</f>
        <v>28.137167985976603</v>
      </c>
    </row>
    <row r="9" spans="1:33" x14ac:dyDescent="0.3">
      <c r="A9" s="15" t="s">
        <v>52</v>
      </c>
      <c r="B9" s="10">
        <v>2010</v>
      </c>
      <c r="C9" s="10">
        <v>2011</v>
      </c>
      <c r="D9" s="1">
        <v>2012</v>
      </c>
      <c r="E9" s="1">
        <v>2013</v>
      </c>
      <c r="F9" s="1">
        <v>2014</v>
      </c>
      <c r="G9" s="1">
        <v>2015</v>
      </c>
      <c r="H9" s="1">
        <v>2016</v>
      </c>
      <c r="I9" s="1">
        <v>2017</v>
      </c>
      <c r="J9" s="1">
        <v>2018</v>
      </c>
      <c r="K9" s="1">
        <v>2019</v>
      </c>
      <c r="L9" s="1">
        <v>2020</v>
      </c>
      <c r="M9" s="1">
        <v>2021</v>
      </c>
      <c r="N9" s="1">
        <v>2022</v>
      </c>
      <c r="O9" s="1">
        <v>2023</v>
      </c>
      <c r="P9" s="1">
        <v>2024</v>
      </c>
      <c r="Q9" s="1">
        <v>2025</v>
      </c>
      <c r="R9" s="1">
        <v>2026</v>
      </c>
      <c r="S9" s="1">
        <v>2027</v>
      </c>
      <c r="T9" s="1">
        <v>2028</v>
      </c>
      <c r="U9" s="1">
        <v>2029</v>
      </c>
      <c r="V9" s="1">
        <v>2030</v>
      </c>
    </row>
    <row r="10" spans="1:33" ht="14.5" x14ac:dyDescent="0.35">
      <c r="A10" s="137" t="s">
        <v>15</v>
      </c>
      <c r="B10" s="174">
        <f t="shared" ref="B10:U10" si="3">B2/B$21</f>
        <v>7.6849473683493305E-2</v>
      </c>
      <c r="C10" s="174">
        <f t="shared" si="3"/>
        <v>7.3739140410031698E-2</v>
      </c>
      <c r="D10" s="174">
        <f t="shared" si="3"/>
        <v>7.2025620653061395E-2</v>
      </c>
      <c r="E10" s="174">
        <f t="shared" si="3"/>
        <v>6.682189813138513E-2</v>
      </c>
      <c r="F10" s="174">
        <f t="shared" si="3"/>
        <v>6.241855065575589E-2</v>
      </c>
      <c r="G10" s="174">
        <f t="shared" si="3"/>
        <v>5.854542188544986E-2</v>
      </c>
      <c r="H10" s="174">
        <f t="shared" si="3"/>
        <v>5.4806722791211293E-2</v>
      </c>
      <c r="I10" s="174">
        <f t="shared" si="3"/>
        <v>5.145328125254614E-2</v>
      </c>
      <c r="J10" s="174">
        <f t="shared" si="3"/>
        <v>4.8595592518477414E-2</v>
      </c>
      <c r="K10" s="174">
        <f t="shared" si="3"/>
        <v>4.6718222185112512E-2</v>
      </c>
      <c r="L10" s="174">
        <f t="shared" si="3"/>
        <v>4.4919329271276363E-2</v>
      </c>
      <c r="M10" s="174">
        <f t="shared" si="3"/>
        <v>4.2182280089334195E-2</v>
      </c>
      <c r="N10" s="174">
        <f t="shared" si="3"/>
        <v>3.9805616298372627E-2</v>
      </c>
      <c r="O10" s="174">
        <f t="shared" si="3"/>
        <v>3.7488163090513359E-2</v>
      </c>
      <c r="P10" s="174">
        <f t="shared" si="3"/>
        <v>3.5696005495200279E-2</v>
      </c>
      <c r="Q10" s="174">
        <f t="shared" si="3"/>
        <v>3.435623348334519E-2</v>
      </c>
      <c r="R10" s="174">
        <f t="shared" si="3"/>
        <v>3.413502967604095E-2</v>
      </c>
      <c r="S10" s="174">
        <f t="shared" si="3"/>
        <v>3.4537029794626209E-2</v>
      </c>
      <c r="T10" s="174">
        <f t="shared" si="3"/>
        <v>3.5469871286676266E-2</v>
      </c>
      <c r="U10" s="174">
        <f t="shared" si="3"/>
        <v>3.7259357171438093E-2</v>
      </c>
      <c r="V10" s="174">
        <f>V2/V$21</f>
        <v>4.0130891308956598E-2</v>
      </c>
    </row>
    <row r="11" spans="1:33" ht="14.5" x14ac:dyDescent="0.35">
      <c r="A11" s="141" t="s">
        <v>16</v>
      </c>
      <c r="B11" s="175">
        <f t="shared" ref="B11:V11" si="4">B3/B$22</f>
        <v>0.10019640827798018</v>
      </c>
      <c r="C11" s="175">
        <f t="shared" si="4"/>
        <v>9.7180748164880731E-2</v>
      </c>
      <c r="D11" s="175">
        <f t="shared" si="4"/>
        <v>9.5676042492400276E-2</v>
      </c>
      <c r="E11" s="175">
        <f t="shared" si="4"/>
        <v>9.0692945357337046E-2</v>
      </c>
      <c r="F11" s="175">
        <f t="shared" si="4"/>
        <v>8.7137074834252079E-2</v>
      </c>
      <c r="G11" s="175">
        <f t="shared" si="4"/>
        <v>8.4040349330184741E-2</v>
      </c>
      <c r="H11" s="175">
        <f t="shared" si="4"/>
        <v>8.0956002009757208E-2</v>
      </c>
      <c r="I11" s="175">
        <f t="shared" si="4"/>
        <v>7.7842495092213748E-2</v>
      </c>
      <c r="J11" s="175">
        <f t="shared" si="4"/>
        <v>7.5395645720309781E-2</v>
      </c>
      <c r="K11" s="175">
        <f t="shared" si="4"/>
        <v>7.4279008359426427E-2</v>
      </c>
      <c r="L11" s="175">
        <f t="shared" si="4"/>
        <v>7.3971215775144178E-2</v>
      </c>
      <c r="M11" s="175">
        <f t="shared" si="4"/>
        <v>7.2282171177437557E-2</v>
      </c>
      <c r="N11" s="175">
        <f t="shared" si="4"/>
        <v>7.0755738689413275E-2</v>
      </c>
      <c r="O11" s="175">
        <f t="shared" si="4"/>
        <v>6.9521565303500107E-2</v>
      </c>
      <c r="P11" s="175">
        <f t="shared" si="4"/>
        <v>6.8598500050983058E-2</v>
      </c>
      <c r="Q11" s="175">
        <f t="shared" si="4"/>
        <v>6.8042292622512213E-2</v>
      </c>
      <c r="R11" s="175">
        <f t="shared" si="4"/>
        <v>6.9390637724664431E-2</v>
      </c>
      <c r="S11" s="175">
        <f t="shared" si="4"/>
        <v>7.2237497332675177E-2</v>
      </c>
      <c r="T11" s="175">
        <f t="shared" si="4"/>
        <v>7.6521739058500196E-2</v>
      </c>
      <c r="U11" s="175">
        <f t="shared" si="4"/>
        <v>8.3061603896052855E-2</v>
      </c>
      <c r="V11" s="175">
        <f t="shared" si="4"/>
        <v>9.2571080650269935E-2</v>
      </c>
    </row>
    <row r="12" spans="1:33" ht="14.5" x14ac:dyDescent="0.35">
      <c r="A12" s="140" t="s">
        <v>17</v>
      </c>
      <c r="B12" s="176">
        <f>B4/B$23</f>
        <v>0.14047291665275574</v>
      </c>
      <c r="C12" s="176">
        <f>C4/C$23</f>
        <v>0.14048969125023938</v>
      </c>
      <c r="D12" s="176">
        <f t="shared" ref="D12:U12" si="5">D4/D$23</f>
        <v>0.14362325919905505</v>
      </c>
      <c r="E12" s="176">
        <f t="shared" si="5"/>
        <v>0.14545482206729132</v>
      </c>
      <c r="F12" s="176">
        <f t="shared" si="5"/>
        <v>0.15009076897306114</v>
      </c>
      <c r="G12" s="176">
        <f t="shared" si="5"/>
        <v>0.15622505744458703</v>
      </c>
      <c r="H12" s="176">
        <f t="shared" si="5"/>
        <v>0.16302633968842917</v>
      </c>
      <c r="I12" s="176">
        <f t="shared" si="5"/>
        <v>0.17140313271514684</v>
      </c>
      <c r="J12" s="176">
        <f t="shared" si="5"/>
        <v>0.18263443651027625</v>
      </c>
      <c r="K12" s="176">
        <f t="shared" si="5"/>
        <v>0.1962493976337692</v>
      </c>
      <c r="L12" s="176">
        <f>L4/L$23</f>
        <v>0.21218947716063127</v>
      </c>
      <c r="M12" s="176">
        <f t="shared" si="5"/>
        <v>0.23016127411647089</v>
      </c>
      <c r="N12" s="176">
        <f t="shared" si="5"/>
        <v>0.2510031359111573</v>
      </c>
      <c r="O12" s="176">
        <f t="shared" si="5"/>
        <v>0.27624540057398644</v>
      </c>
      <c r="P12" s="176">
        <f t="shared" si="5"/>
        <v>0.30455503337221224</v>
      </c>
      <c r="Q12" s="176">
        <f t="shared" si="5"/>
        <v>0.33655001242028854</v>
      </c>
      <c r="R12" s="176">
        <f t="shared" si="5"/>
        <v>0.36670477212577007</v>
      </c>
      <c r="S12" s="176">
        <f t="shared" si="5"/>
        <v>0.40131367606307178</v>
      </c>
      <c r="T12" s="176">
        <f t="shared" si="5"/>
        <v>0.4402859880991562</v>
      </c>
      <c r="U12" s="176">
        <f t="shared" si="5"/>
        <v>0.48306522611755176</v>
      </c>
      <c r="V12" s="176">
        <f>V4/V$23</f>
        <v>0.52887572334566946</v>
      </c>
    </row>
    <row r="13" spans="1:33" x14ac:dyDescent="0.3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33" s="18" customFormat="1" ht="14" x14ac:dyDescent="0.3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33" s="18" customFormat="1" ht="14" x14ac:dyDescent="0.3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33" s="18" customFormat="1" ht="14" x14ac:dyDescent="0.3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</row>
    <row r="17" spans="1:22" s="18" customFormat="1" ht="14" x14ac:dyDescent="0.3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62"/>
      <c r="O17" s="62"/>
      <c r="P17" s="62"/>
      <c r="Q17" s="62"/>
      <c r="R17" s="62"/>
      <c r="S17" s="62"/>
      <c r="T17" s="62"/>
      <c r="U17" s="62"/>
      <c r="V17" s="62"/>
    </row>
    <row r="18" spans="1:22" ht="14" x14ac:dyDescent="0.3">
      <c r="A18" s="108" t="s">
        <v>227</v>
      </c>
      <c r="B18" s="48" t="s">
        <v>238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3">
      <c r="A19" s="287">
        <v>1.04</v>
      </c>
      <c r="B19" s="287">
        <v>1.0658000000000001</v>
      </c>
      <c r="C19" s="288">
        <v>1.08</v>
      </c>
      <c r="D19" s="288">
        <v>1.1000000000000001</v>
      </c>
      <c r="E19" s="287">
        <v>1.0316000000000001</v>
      </c>
      <c r="F19" s="287">
        <v>1.024</v>
      </c>
      <c r="G19" s="289"/>
      <c r="H19" s="289"/>
      <c r="I19" s="289"/>
      <c r="J19" s="290" t="s">
        <v>0</v>
      </c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</row>
    <row r="20" spans="1:22" x14ac:dyDescent="0.3">
      <c r="A20" s="290"/>
      <c r="B20" s="291">
        <v>2010</v>
      </c>
      <c r="C20" s="291">
        <v>2011</v>
      </c>
      <c r="D20" s="292">
        <v>2012</v>
      </c>
      <c r="E20" s="292">
        <v>2013</v>
      </c>
      <c r="F20" s="292">
        <v>2014</v>
      </c>
      <c r="G20" s="292">
        <v>2015</v>
      </c>
      <c r="H20" s="292">
        <v>2016</v>
      </c>
      <c r="I20" s="292">
        <v>2017</v>
      </c>
      <c r="J20" s="292">
        <v>2018</v>
      </c>
      <c r="K20" s="292">
        <v>2019</v>
      </c>
      <c r="L20" s="292">
        <v>2020</v>
      </c>
      <c r="M20" s="292">
        <v>2021</v>
      </c>
      <c r="N20" s="292">
        <v>2022</v>
      </c>
      <c r="O20" s="292">
        <v>2023</v>
      </c>
      <c r="P20" s="292">
        <v>2024</v>
      </c>
      <c r="Q20" s="292">
        <v>2025</v>
      </c>
      <c r="R20" s="292">
        <v>2026</v>
      </c>
      <c r="S20" s="292">
        <v>2027</v>
      </c>
      <c r="T20" s="292">
        <v>2028</v>
      </c>
      <c r="U20" s="292">
        <v>2029</v>
      </c>
      <c r="V20" s="292">
        <v>2030</v>
      </c>
    </row>
    <row r="21" spans="1:22" ht="14.5" x14ac:dyDescent="0.35">
      <c r="A21" s="151" t="s">
        <v>192</v>
      </c>
      <c r="B21" s="293">
        <v>19381</v>
      </c>
      <c r="C21" s="293">
        <f>(19381-1536)*$A$19+C2</f>
        <v>20036.256317918367</v>
      </c>
      <c r="D21" s="293">
        <f t="shared" ref="D21:J21" si="6">(C21-C2)*$A$19+D2</f>
        <v>20799.229407155803</v>
      </c>
      <c r="E21" s="293">
        <f t="shared" si="6"/>
        <v>21510.575569449193</v>
      </c>
      <c r="F21" s="293">
        <f t="shared" si="6"/>
        <v>22265.93328803702</v>
      </c>
      <c r="G21" s="293">
        <f t="shared" si="6"/>
        <v>23061.304865933027</v>
      </c>
      <c r="H21" s="293">
        <f t="shared" si="6"/>
        <v>23888.889637196804</v>
      </c>
      <c r="I21" s="293">
        <f t="shared" si="6"/>
        <v>24756.611494552806</v>
      </c>
      <c r="J21" s="293">
        <f t="shared" si="6"/>
        <v>25669.541272286377</v>
      </c>
      <c r="K21" s="293">
        <f>(J21-J2)*$F$19+K2</f>
        <v>26233.844010648751</v>
      </c>
      <c r="L21" s="293">
        <f t="shared" ref="L21:V21" si="7">(K21-K2)*$F$19+L2</f>
        <v>26812.858990045173</v>
      </c>
      <c r="M21" s="293">
        <f t="shared" si="7"/>
        <v>27377.908597445476</v>
      </c>
      <c r="N21" s="293">
        <f t="shared" si="7"/>
        <v>27965.586498162098</v>
      </c>
      <c r="O21" s="293">
        <f t="shared" si="7"/>
        <v>28567.811445275816</v>
      </c>
      <c r="P21" s="293">
        <f t="shared" si="7"/>
        <v>29199.071445547524</v>
      </c>
      <c r="Q21" s="293">
        <f t="shared" si="7"/>
        <v>29858.364937535971</v>
      </c>
      <c r="R21" s="293">
        <f t="shared" si="7"/>
        <v>30567.963372701834</v>
      </c>
      <c r="S21" s="293">
        <f t="shared" si="7"/>
        <v>31314.627872540204</v>
      </c>
      <c r="T21" s="293">
        <f t="shared" si="7"/>
        <v>32097.191619382706</v>
      </c>
      <c r="U21" s="293">
        <f t="shared" si="7"/>
        <v>32928.616446039188</v>
      </c>
      <c r="V21" s="293">
        <f t="shared" si="7"/>
        <v>33819.776350274158</v>
      </c>
    </row>
    <row r="22" spans="1:22" ht="14.5" x14ac:dyDescent="0.35">
      <c r="A22" s="152" t="s">
        <v>193</v>
      </c>
      <c r="B22" s="294">
        <f>B21</f>
        <v>19381</v>
      </c>
      <c r="C22" s="294">
        <f>C21</f>
        <v>20036.256317918367</v>
      </c>
      <c r="D22" s="294">
        <f t="shared" ref="D22:J22" si="8">D21</f>
        <v>20799.229407155803</v>
      </c>
      <c r="E22" s="294">
        <f t="shared" si="8"/>
        <v>21510.575569449193</v>
      </c>
      <c r="F22" s="294">
        <f t="shared" si="8"/>
        <v>22265.93328803702</v>
      </c>
      <c r="G22" s="294">
        <f t="shared" si="8"/>
        <v>23061.304865933027</v>
      </c>
      <c r="H22" s="294">
        <f t="shared" si="8"/>
        <v>23888.889637196804</v>
      </c>
      <c r="I22" s="294">
        <f t="shared" si="8"/>
        <v>24756.611494552806</v>
      </c>
      <c r="J22" s="294">
        <f t="shared" si="8"/>
        <v>25669.541272286377</v>
      </c>
      <c r="K22" s="294">
        <f>(J22-J3)*$F$19+K3</f>
        <v>26253.903631192352</v>
      </c>
      <c r="L22" s="294">
        <f t="shared" ref="L22:U22" si="9">(K22-K3)*$F$19+L3</f>
        <v>26875.06164036701</v>
      </c>
      <c r="M22" s="294">
        <f t="shared" si="9"/>
        <v>27469.958861202889</v>
      </c>
      <c r="N22" s="294">
        <f t="shared" si="9"/>
        <v>28083.031096663923</v>
      </c>
      <c r="O22" s="294">
        <f t="shared" si="9"/>
        <v>28718.880934817847</v>
      </c>
      <c r="P22" s="294">
        <f t="shared" si="9"/>
        <v>29378.989152417558</v>
      </c>
      <c r="Q22" s="294">
        <f t="shared" si="9"/>
        <v>30066.130223786171</v>
      </c>
      <c r="R22" s="294">
        <f t="shared" si="9"/>
        <v>30832.325183095742</v>
      </c>
      <c r="S22" s="294">
        <f t="shared" si="9"/>
        <v>31669.181286224721</v>
      </c>
      <c r="T22" s="294">
        <f t="shared" si="9"/>
        <v>32579.688827931997</v>
      </c>
      <c r="U22" s="294">
        <f t="shared" si="9"/>
        <v>33599.54576761042</v>
      </c>
      <c r="V22" s="294">
        <f>(U22-U3)*$F$19+V3</f>
        <v>34766.494719084818</v>
      </c>
    </row>
    <row r="23" spans="1:22" ht="14.5" x14ac:dyDescent="0.35">
      <c r="A23" s="153" t="s">
        <v>194</v>
      </c>
      <c r="B23" s="295">
        <f>B21</f>
        <v>19381</v>
      </c>
      <c r="C23" s="295">
        <f>(19381-2720)*$A$19+C4</f>
        <v>20159.665129792811</v>
      </c>
      <c r="D23" s="295">
        <f>(C23-C4)*$A$19+D4</f>
        <v>21042.768610396757</v>
      </c>
      <c r="E23" s="295">
        <f t="shared" ref="E23:S23" si="10">(D23-D4)*$A$19+E4</f>
        <v>21931.384773990023</v>
      </c>
      <c r="F23" s="295">
        <f t="shared" si="10"/>
        <v>22933.053032744639</v>
      </c>
      <c r="G23" s="295">
        <f t="shared" si="10"/>
        <v>24023.768643206866</v>
      </c>
      <c r="H23" s="295">
        <f t="shared" si="10"/>
        <v>25187.746241995352</v>
      </c>
      <c r="I23" s="295">
        <f t="shared" si="10"/>
        <v>26460.079973137406</v>
      </c>
      <c r="J23" s="295">
        <f t="shared" si="10"/>
        <v>27896.610730027343</v>
      </c>
      <c r="K23" s="295">
        <f t="shared" si="10"/>
        <v>29503.925766203181</v>
      </c>
      <c r="L23" s="295">
        <f t="shared" si="10"/>
        <v>31304.925887684658</v>
      </c>
      <c r="M23" s="295">
        <f t="shared" si="10"/>
        <v>33317.165232015104</v>
      </c>
      <c r="N23" s="295">
        <f t="shared" si="10"/>
        <v>35614.031343116672</v>
      </c>
      <c r="O23" s="295">
        <f t="shared" si="10"/>
        <v>38330.381219407114</v>
      </c>
      <c r="P23" s="295">
        <f t="shared" si="10"/>
        <v>41486.332748098022</v>
      </c>
      <c r="Q23" s="295">
        <f t="shared" si="10"/>
        <v>45226.498314834433</v>
      </c>
      <c r="R23" s="295">
        <f t="shared" si="10"/>
        <v>49275.186613688056</v>
      </c>
      <c r="S23" s="295">
        <f t="shared" si="10"/>
        <v>54208.637910830657</v>
      </c>
      <c r="T23" s="295">
        <f>(S23-S4)*$A$19+T4</f>
        <v>60302.454905669045</v>
      </c>
      <c r="U23" s="295">
        <f>(T23-T4)*$A$19+U4</f>
        <v>67904.532437612535</v>
      </c>
      <c r="V23" s="295">
        <f>(U23-U4)*$A$19+V4</f>
        <v>77487.627989217246</v>
      </c>
    </row>
    <row r="24" spans="1:22" ht="14" x14ac:dyDescent="0.3">
      <c r="A24" s="287" t="s">
        <v>191</v>
      </c>
      <c r="B24" s="296">
        <v>4100</v>
      </c>
      <c r="C24" s="330">
        <f>B24*$B$19</f>
        <v>4369.7800000000007</v>
      </c>
      <c r="D24" s="330">
        <f>C24*$B$19</f>
        <v>4657.3115240000006</v>
      </c>
      <c r="E24" s="330">
        <f t="shared" ref="E24:J24" si="11">D24*$B$19</f>
        <v>4963.7626222792014</v>
      </c>
      <c r="F24" s="330">
        <f t="shared" si="11"/>
        <v>5290.3782028251735</v>
      </c>
      <c r="G24" s="330">
        <f>F24*$B$19</f>
        <v>5638.4850885710703</v>
      </c>
      <c r="H24" s="330">
        <f>G24*$B$19</f>
        <v>6009.497407399047</v>
      </c>
      <c r="I24" s="330">
        <f t="shared" si="11"/>
        <v>6404.9223368059047</v>
      </c>
      <c r="J24" s="330">
        <f t="shared" si="11"/>
        <v>6826.366226567734</v>
      </c>
      <c r="K24" s="330">
        <f>J24*$E$19</f>
        <v>7042.0793993272746</v>
      </c>
      <c r="L24" s="330">
        <f t="shared" ref="L24:U24" si="12">K24*$E$19</f>
        <v>7264.6091083460169</v>
      </c>
      <c r="M24" s="330">
        <f t="shared" si="12"/>
        <v>7494.1707561697513</v>
      </c>
      <c r="N24" s="330">
        <f t="shared" si="12"/>
        <v>7730.9865520647163</v>
      </c>
      <c r="O24" s="330">
        <f t="shared" si="12"/>
        <v>7975.285727109962</v>
      </c>
      <c r="P24" s="330">
        <f t="shared" si="12"/>
        <v>8227.304756086638</v>
      </c>
      <c r="Q24" s="330">
        <f t="shared" si="12"/>
        <v>8487.2875863789759</v>
      </c>
      <c r="R24" s="330">
        <f t="shared" si="12"/>
        <v>8755.4858741085518</v>
      </c>
      <c r="S24" s="330">
        <f t="shared" si="12"/>
        <v>9032.1592277303826</v>
      </c>
      <c r="T24" s="330">
        <f t="shared" si="12"/>
        <v>9317.5754593266629</v>
      </c>
      <c r="U24" s="330">
        <f t="shared" si="12"/>
        <v>9612.0108438413863</v>
      </c>
      <c r="V24" s="330">
        <f>U24*$E$19</f>
        <v>9915.7503865067756</v>
      </c>
    </row>
    <row r="25" spans="1:22" s="245" customFormat="1" ht="15.5" x14ac:dyDescent="0.35">
      <c r="A25" s="245" t="s">
        <v>176</v>
      </c>
      <c r="B25" s="245">
        <f>B24/B21</f>
        <v>0.21154739177545018</v>
      </c>
      <c r="C25" s="245">
        <f t="shared" ref="C25:U25" si="13">C24/C21</f>
        <v>0.21809363638915513</v>
      </c>
      <c r="D25" s="245">
        <f t="shared" si="13"/>
        <v>0.22391750352047615</v>
      </c>
      <c r="E25" s="245">
        <f t="shared" si="13"/>
        <v>0.23075917268011556</v>
      </c>
      <c r="F25" s="245">
        <f t="shared" si="13"/>
        <v>0.23759966107809968</v>
      </c>
      <c r="G25" s="245">
        <f t="shared" si="13"/>
        <v>0.24449982866756337</v>
      </c>
      <c r="H25" s="245">
        <f t="shared" si="13"/>
        <v>0.25156034870879079</v>
      </c>
      <c r="I25" s="245">
        <f t="shared" si="13"/>
        <v>0.25871562989204638</v>
      </c>
      <c r="J25" s="245">
        <f t="shared" si="13"/>
        <v>0.26593253670402317</v>
      </c>
      <c r="K25" s="245">
        <f t="shared" si="13"/>
        <v>0.26843490402964881</v>
      </c>
      <c r="L25" s="245">
        <f t="shared" si="13"/>
        <v>0.27093750468919231</v>
      </c>
      <c r="M25" s="245">
        <f t="shared" si="13"/>
        <v>0.27373057841492693</v>
      </c>
      <c r="N25" s="245">
        <f t="shared" si="13"/>
        <v>0.27644643006406455</v>
      </c>
      <c r="O25" s="245">
        <f t="shared" si="13"/>
        <v>0.27917034325108631</v>
      </c>
      <c r="P25" s="245">
        <f t="shared" si="13"/>
        <v>0.28176597229913602</v>
      </c>
      <c r="Q25" s="245">
        <f t="shared" si="13"/>
        <v>0.28425158591686034</v>
      </c>
      <c r="R25" s="245">
        <f t="shared" si="13"/>
        <v>0.28642686355504732</v>
      </c>
      <c r="S25" s="245">
        <f t="shared" si="13"/>
        <v>0.28843259017778983</v>
      </c>
      <c r="T25" s="245">
        <f t="shared" si="13"/>
        <v>0.29029254552289269</v>
      </c>
      <c r="U25" s="245">
        <f t="shared" si="13"/>
        <v>0.29190448555871729</v>
      </c>
      <c r="V25" s="245">
        <f>V24/V21</f>
        <v>0.29319384858754083</v>
      </c>
    </row>
    <row r="26" spans="1:22" s="248" customFormat="1" ht="14.5" x14ac:dyDescent="0.35">
      <c r="A26" s="246" t="s">
        <v>177</v>
      </c>
      <c r="B26" s="247">
        <f>B24/B22</f>
        <v>0.21154739177545018</v>
      </c>
      <c r="C26" s="247">
        <f>C24/C22</f>
        <v>0.21809363638915513</v>
      </c>
      <c r="D26" s="247">
        <f>D24/D22</f>
        <v>0.22391750352047615</v>
      </c>
      <c r="E26" s="247">
        <f>E24/E22</f>
        <v>0.23075917268011556</v>
      </c>
      <c r="F26" s="247">
        <f>F24/F22</f>
        <v>0.23759966107809968</v>
      </c>
      <c r="G26" s="247">
        <f t="shared" ref="G26:U26" si="14">G24/G22</f>
        <v>0.24449982866756337</v>
      </c>
      <c r="H26" s="247">
        <f t="shared" si="14"/>
        <v>0.25156034870879079</v>
      </c>
      <c r="I26" s="247">
        <f t="shared" si="14"/>
        <v>0.25871562989204638</v>
      </c>
      <c r="J26" s="247">
        <f t="shared" si="14"/>
        <v>0.26593253670402317</v>
      </c>
      <c r="K26" s="247">
        <f t="shared" si="14"/>
        <v>0.268229803013391</v>
      </c>
      <c r="L26" s="247">
        <f t="shared" si="14"/>
        <v>0.27031041660698535</v>
      </c>
      <c r="M26" s="247">
        <f t="shared" si="14"/>
        <v>0.27281332287519805</v>
      </c>
      <c r="N26" s="247">
        <f t="shared" si="14"/>
        <v>0.27529031768166601</v>
      </c>
      <c r="O26" s="247">
        <f t="shared" si="14"/>
        <v>0.27770182777007102</v>
      </c>
      <c r="P26" s="247">
        <f t="shared" si="14"/>
        <v>0.28004043002989515</v>
      </c>
      <c r="Q26" s="247">
        <f t="shared" si="14"/>
        <v>0.28228732873858309</v>
      </c>
      <c r="R26" s="247">
        <f t="shared" si="14"/>
        <v>0.28397098895768236</v>
      </c>
      <c r="S26" s="247">
        <f t="shared" si="14"/>
        <v>0.28520343314524332</v>
      </c>
      <c r="T26" s="247">
        <f t="shared" si="14"/>
        <v>0.28599338405400287</v>
      </c>
      <c r="U26" s="247">
        <f t="shared" si="14"/>
        <v>0.28607561870991888</v>
      </c>
      <c r="V26" s="247">
        <f>V24/V22</f>
        <v>0.28520995477475031</v>
      </c>
    </row>
    <row r="27" spans="1:22" s="244" customFormat="1" ht="14.5" x14ac:dyDescent="0.35">
      <c r="A27" s="249" t="s">
        <v>178</v>
      </c>
      <c r="B27" s="250">
        <f>B24/B23</f>
        <v>0.21154739177545018</v>
      </c>
      <c r="C27" s="250">
        <f t="shared" ref="C27:U27" si="15">C24/C23</f>
        <v>0.21675856081270684</v>
      </c>
      <c r="D27" s="250">
        <f t="shared" si="15"/>
        <v>0.22132598662416161</v>
      </c>
      <c r="E27" s="250">
        <f t="shared" si="15"/>
        <v>0.22633147306621867</v>
      </c>
      <c r="F27" s="250">
        <f t="shared" si="15"/>
        <v>0.23068791561556942</v>
      </c>
      <c r="G27" s="250">
        <f t="shared" si="15"/>
        <v>0.23470443677309757</v>
      </c>
      <c r="H27" s="250">
        <f>H24/H23</f>
        <v>0.23858813526473657</v>
      </c>
      <c r="I27" s="250">
        <f t="shared" si="15"/>
        <v>0.24205982534097628</v>
      </c>
      <c r="J27" s="250">
        <f t="shared" si="15"/>
        <v>0.24470235085654948</v>
      </c>
      <c r="K27" s="250">
        <f t="shared" si="15"/>
        <v>0.23868279276224297</v>
      </c>
      <c r="L27" s="250">
        <f>L24/L23</f>
        <v>0.2320596168925578</v>
      </c>
      <c r="M27" s="250">
        <f>M24/M23</f>
        <v>0.22493422546551045</v>
      </c>
      <c r="N27" s="250">
        <f t="shared" si="15"/>
        <v>0.2170769851236998</v>
      </c>
      <c r="O27" s="250">
        <f>O24/O23</f>
        <v>0.20806695559479546</v>
      </c>
      <c r="P27" s="250">
        <f t="shared" si="15"/>
        <v>0.19831361827140109</v>
      </c>
      <c r="Q27" s="250">
        <f t="shared" si="15"/>
        <v>0.18766183327518679</v>
      </c>
      <c r="R27" s="250">
        <f t="shared" si="15"/>
        <v>0.17768549397388547</v>
      </c>
      <c r="S27" s="250">
        <f t="shared" si="15"/>
        <v>0.16661845004457851</v>
      </c>
      <c r="T27" s="250">
        <f t="shared" si="15"/>
        <v>0.15451403220485996</v>
      </c>
      <c r="U27" s="250">
        <f t="shared" si="15"/>
        <v>0.14155183017676246</v>
      </c>
      <c r="V27" s="250">
        <f>V24/V23</f>
        <v>0.12796559455770923</v>
      </c>
    </row>
    <row r="28" spans="1:22" s="253" customFormat="1" ht="14.5" x14ac:dyDescent="0.35">
      <c r="A28" s="251" t="s">
        <v>188</v>
      </c>
      <c r="B28" s="252">
        <f t="shared" ref="B28:L28" si="16">B21-B24</f>
        <v>15281</v>
      </c>
      <c r="C28" s="252">
        <f t="shared" si="16"/>
        <v>15666.476317918366</v>
      </c>
      <c r="D28" s="252">
        <f t="shared" si="16"/>
        <v>16141.917883155802</v>
      </c>
      <c r="E28" s="252">
        <f t="shared" si="16"/>
        <v>16546.81294716999</v>
      </c>
      <c r="F28" s="252">
        <f t="shared" si="16"/>
        <v>16975.555085211847</v>
      </c>
      <c r="G28" s="252">
        <f t="shared" si="16"/>
        <v>17422.819777361958</v>
      </c>
      <c r="H28" s="252">
        <f t="shared" si="16"/>
        <v>17879.392229797755</v>
      </c>
      <c r="I28" s="252">
        <f t="shared" si="16"/>
        <v>18351.6891577469</v>
      </c>
      <c r="J28" s="252">
        <f t="shared" si="16"/>
        <v>18843.175045718643</v>
      </c>
      <c r="K28" s="252">
        <f t="shared" si="16"/>
        <v>19191.764611321476</v>
      </c>
      <c r="L28" s="252">
        <f t="shared" si="16"/>
        <v>19548.249881699157</v>
      </c>
      <c r="M28" s="252">
        <f t="shared" ref="M28:V28" si="17">M21-M24</f>
        <v>19883.737841275724</v>
      </c>
      <c r="N28" s="252">
        <f t="shared" si="17"/>
        <v>20234.599946097384</v>
      </c>
      <c r="O28" s="252">
        <f t="shared" si="17"/>
        <v>20592.525718165853</v>
      </c>
      <c r="P28" s="252">
        <f t="shared" si="17"/>
        <v>20971.766689460885</v>
      </c>
      <c r="Q28" s="252">
        <f t="shared" si="17"/>
        <v>21371.077351156993</v>
      </c>
      <c r="R28" s="252">
        <f t="shared" si="17"/>
        <v>21812.477498593282</v>
      </c>
      <c r="S28" s="252">
        <f t="shared" si="17"/>
        <v>22282.468644809822</v>
      </c>
      <c r="T28" s="252">
        <f t="shared" si="17"/>
        <v>22779.616160056044</v>
      </c>
      <c r="U28" s="252">
        <f t="shared" si="17"/>
        <v>23316.6056021978</v>
      </c>
      <c r="V28" s="252">
        <f t="shared" si="17"/>
        <v>23904.025963767381</v>
      </c>
    </row>
    <row r="29" spans="1:22" s="248" customFormat="1" ht="14.5" x14ac:dyDescent="0.35">
      <c r="A29" s="246" t="s">
        <v>189</v>
      </c>
      <c r="B29" s="254">
        <f>B22-B24</f>
        <v>15281</v>
      </c>
      <c r="C29" s="254">
        <f t="shared" ref="C29:V29" si="18">C22-C24</f>
        <v>15666.476317918366</v>
      </c>
      <c r="D29" s="254">
        <f t="shared" si="18"/>
        <v>16141.917883155802</v>
      </c>
      <c r="E29" s="254">
        <f t="shared" si="18"/>
        <v>16546.81294716999</v>
      </c>
      <c r="F29" s="254">
        <f t="shared" si="18"/>
        <v>16975.555085211847</v>
      </c>
      <c r="G29" s="254">
        <f t="shared" si="18"/>
        <v>17422.819777361958</v>
      </c>
      <c r="H29" s="254">
        <f t="shared" si="18"/>
        <v>17879.392229797755</v>
      </c>
      <c r="I29" s="254">
        <f t="shared" si="18"/>
        <v>18351.6891577469</v>
      </c>
      <c r="J29" s="254">
        <f t="shared" si="18"/>
        <v>18843.175045718643</v>
      </c>
      <c r="K29" s="254">
        <f t="shared" si="18"/>
        <v>19211.824231865077</v>
      </c>
      <c r="L29" s="254">
        <f t="shared" si="18"/>
        <v>19610.452532020994</v>
      </c>
      <c r="M29" s="254">
        <f t="shared" si="18"/>
        <v>19975.788105033138</v>
      </c>
      <c r="N29" s="254">
        <f t="shared" si="18"/>
        <v>20352.044544599208</v>
      </c>
      <c r="O29" s="254">
        <f t="shared" si="18"/>
        <v>20743.595207707884</v>
      </c>
      <c r="P29" s="254">
        <f t="shared" si="18"/>
        <v>21151.684396330922</v>
      </c>
      <c r="Q29" s="254">
        <f t="shared" si="18"/>
        <v>21578.842637407193</v>
      </c>
      <c r="R29" s="254">
        <f t="shared" si="18"/>
        <v>22076.83930898719</v>
      </c>
      <c r="S29" s="254">
        <f t="shared" si="18"/>
        <v>22637.022058494338</v>
      </c>
      <c r="T29" s="254">
        <f t="shared" si="18"/>
        <v>23262.113368605336</v>
      </c>
      <c r="U29" s="254">
        <f t="shared" si="18"/>
        <v>23987.534923769032</v>
      </c>
      <c r="V29" s="254">
        <f t="shared" si="18"/>
        <v>24850.74433257804</v>
      </c>
    </row>
    <row r="30" spans="1:22" s="244" customFormat="1" ht="14.5" x14ac:dyDescent="0.35">
      <c r="A30" s="249" t="s">
        <v>190</v>
      </c>
      <c r="B30" s="255">
        <f>B23-B24</f>
        <v>15281</v>
      </c>
      <c r="C30" s="255">
        <f t="shared" ref="C30:V30" si="19">C23-C24</f>
        <v>15789.88512979281</v>
      </c>
      <c r="D30" s="255">
        <f t="shared" si="19"/>
        <v>16385.457086396756</v>
      </c>
      <c r="E30" s="255">
        <f t="shared" si="19"/>
        <v>16967.622151710821</v>
      </c>
      <c r="F30" s="255">
        <f t="shared" si="19"/>
        <v>17642.674829919466</v>
      </c>
      <c r="G30" s="255">
        <f t="shared" si="19"/>
        <v>18385.283554635796</v>
      </c>
      <c r="H30" s="255">
        <f t="shared" si="19"/>
        <v>19178.248834596307</v>
      </c>
      <c r="I30" s="255">
        <f t="shared" si="19"/>
        <v>20055.157636331503</v>
      </c>
      <c r="J30" s="255">
        <f t="shared" si="19"/>
        <v>21070.244503459609</v>
      </c>
      <c r="K30" s="255">
        <f t="shared" si="19"/>
        <v>22461.846366875907</v>
      </c>
      <c r="L30" s="255">
        <f t="shared" si="19"/>
        <v>24040.316779338642</v>
      </c>
      <c r="M30" s="255">
        <f t="shared" si="19"/>
        <v>25822.994475845353</v>
      </c>
      <c r="N30" s="255">
        <f t="shared" si="19"/>
        <v>27883.044791051958</v>
      </c>
      <c r="O30" s="255">
        <f t="shared" si="19"/>
        <v>30355.09549229715</v>
      </c>
      <c r="P30" s="255">
        <f t="shared" si="19"/>
        <v>33259.027992011383</v>
      </c>
      <c r="Q30" s="255">
        <f t="shared" si="19"/>
        <v>36739.210728455459</v>
      </c>
      <c r="R30" s="255">
        <f t="shared" si="19"/>
        <v>40519.700739579508</v>
      </c>
      <c r="S30" s="255">
        <f t="shared" si="19"/>
        <v>45176.478683100271</v>
      </c>
      <c r="T30" s="255">
        <f t="shared" si="19"/>
        <v>50984.879446342384</v>
      </c>
      <c r="U30" s="255">
        <f t="shared" si="19"/>
        <v>58292.521593771147</v>
      </c>
      <c r="V30" s="255">
        <f t="shared" si="19"/>
        <v>67571.877602710476</v>
      </c>
    </row>
    <row r="31" spans="1:22" s="257" customFormat="1" ht="14.5" x14ac:dyDescent="0.35">
      <c r="A31" s="256" t="s">
        <v>179</v>
      </c>
      <c r="B31" s="334">
        <f>(1-B25)*0.7412</f>
        <v>0.58440107321603629</v>
      </c>
      <c r="C31" s="334">
        <f t="shared" ref="C31:V31" si="20">(1-C25)*0.7412</f>
        <v>0.57954899670835824</v>
      </c>
      <c r="D31" s="334">
        <f t="shared" si="20"/>
        <v>0.57523234639062304</v>
      </c>
      <c r="E31" s="334">
        <f t="shared" si="20"/>
        <v>0.57016130120949826</v>
      </c>
      <c r="F31" s="334">
        <f t="shared" si="20"/>
        <v>0.56509113120891252</v>
      </c>
      <c r="G31" s="334">
        <f t="shared" si="20"/>
        <v>0.55997672699160206</v>
      </c>
      <c r="H31" s="334">
        <f t="shared" si="20"/>
        <v>0.55474346953704423</v>
      </c>
      <c r="I31" s="334">
        <f t="shared" si="20"/>
        <v>0.54943997512401521</v>
      </c>
      <c r="J31" s="334">
        <f t="shared" si="20"/>
        <v>0.54409080379497798</v>
      </c>
      <c r="K31" s="334">
        <f t="shared" si="20"/>
        <v>0.54223604913322432</v>
      </c>
      <c r="L31" s="334">
        <f t="shared" si="20"/>
        <v>0.54038112152437068</v>
      </c>
      <c r="M31" s="334">
        <f t="shared" si="20"/>
        <v>0.53831089527885623</v>
      </c>
      <c r="N31" s="334">
        <f t="shared" si="20"/>
        <v>0.53629790603651528</v>
      </c>
      <c r="O31" s="334">
        <f t="shared" si="20"/>
        <v>0.53427894158229472</v>
      </c>
      <c r="P31" s="334">
        <f t="shared" si="20"/>
        <v>0.53235506133188037</v>
      </c>
      <c r="Q31" s="334">
        <f t="shared" si="20"/>
        <v>0.53051272451842302</v>
      </c>
      <c r="R31" s="334">
        <f t="shared" si="20"/>
        <v>0.52890040873299893</v>
      </c>
      <c r="S31" s="334">
        <f t="shared" si="20"/>
        <v>0.52741376416022223</v>
      </c>
      <c r="T31" s="334">
        <f t="shared" si="20"/>
        <v>0.52603516525843197</v>
      </c>
      <c r="U31" s="334">
        <f t="shared" si="20"/>
        <v>0.52484039530387872</v>
      </c>
      <c r="V31" s="334">
        <f t="shared" si="20"/>
        <v>0.52388471942691472</v>
      </c>
    </row>
    <row r="32" spans="1:22" s="253" customFormat="1" ht="14.5" x14ac:dyDescent="0.35">
      <c r="A32" s="251" t="s">
        <v>180</v>
      </c>
      <c r="B32" s="334">
        <f>B25*0.01</f>
        <v>2.1154739177545018E-3</v>
      </c>
      <c r="C32" s="334">
        <f t="shared" ref="C32:V32" si="21">C25*0.01</f>
        <v>2.1809363638915515E-3</v>
      </c>
      <c r="D32" s="334">
        <f t="shared" si="21"/>
        <v>2.2391750352047618E-3</v>
      </c>
      <c r="E32" s="334">
        <f t="shared" si="21"/>
        <v>2.3075917268011556E-3</v>
      </c>
      <c r="F32" s="334">
        <f t="shared" si="21"/>
        <v>2.375996610780997E-3</v>
      </c>
      <c r="G32" s="334">
        <f t="shared" si="21"/>
        <v>2.4449982866756336E-3</v>
      </c>
      <c r="H32" s="334">
        <f t="shared" si="21"/>
        <v>2.5156034870879081E-3</v>
      </c>
      <c r="I32" s="334">
        <f t="shared" si="21"/>
        <v>2.5871562989204641E-3</v>
      </c>
      <c r="J32" s="334">
        <f t="shared" si="21"/>
        <v>2.6593253670402317E-3</v>
      </c>
      <c r="K32" s="334">
        <f t="shared" si="21"/>
        <v>2.6843490402964883E-3</v>
      </c>
      <c r="L32" s="334">
        <f t="shared" si="21"/>
        <v>2.709375046891923E-3</v>
      </c>
      <c r="M32" s="334">
        <f t="shared" si="21"/>
        <v>2.7373057841492692E-3</v>
      </c>
      <c r="N32" s="334">
        <f t="shared" si="21"/>
        <v>2.7644643006406455E-3</v>
      </c>
      <c r="O32" s="334">
        <f t="shared" si="21"/>
        <v>2.791703432510863E-3</v>
      </c>
      <c r="P32" s="334">
        <f t="shared" si="21"/>
        <v>2.8176597229913605E-3</v>
      </c>
      <c r="Q32" s="334">
        <f t="shared" si="21"/>
        <v>2.8425158591686033E-3</v>
      </c>
      <c r="R32" s="334">
        <f t="shared" si="21"/>
        <v>2.864268635550473E-3</v>
      </c>
      <c r="S32" s="334">
        <f t="shared" si="21"/>
        <v>2.8843259017778985E-3</v>
      </c>
      <c r="T32" s="334">
        <f t="shared" si="21"/>
        <v>2.9029254552289268E-3</v>
      </c>
      <c r="U32" s="334">
        <f t="shared" si="21"/>
        <v>2.9190448555871731E-3</v>
      </c>
      <c r="V32" s="334">
        <f t="shared" si="21"/>
        <v>2.9319384858754083E-3</v>
      </c>
    </row>
    <row r="33" spans="1:22" s="253" customFormat="1" ht="14.5" x14ac:dyDescent="0.35">
      <c r="A33" s="259" t="s">
        <v>181</v>
      </c>
      <c r="B33" s="260">
        <f>SUM(B31:B32)</f>
        <v>0.58651654713379076</v>
      </c>
      <c r="C33" s="260">
        <f t="shared" ref="C33:K33" si="22">SUM(C31:C32)</f>
        <v>0.58172993307224985</v>
      </c>
      <c r="D33" s="260">
        <f t="shared" si="22"/>
        <v>0.57747152142582781</v>
      </c>
      <c r="E33" s="260">
        <f t="shared" si="22"/>
        <v>0.57246889293629943</v>
      </c>
      <c r="F33" s="260">
        <f t="shared" si="22"/>
        <v>0.56746712781969355</v>
      </c>
      <c r="G33" s="260">
        <f t="shared" si="22"/>
        <v>0.56242172527827772</v>
      </c>
      <c r="H33" s="260">
        <f t="shared" si="22"/>
        <v>0.55725907302413213</v>
      </c>
      <c r="I33" s="260">
        <f t="shared" si="22"/>
        <v>0.55202713142293569</v>
      </c>
      <c r="J33" s="260">
        <f t="shared" si="22"/>
        <v>0.54675012916201826</v>
      </c>
      <c r="K33" s="260">
        <f t="shared" si="22"/>
        <v>0.54492039817352078</v>
      </c>
      <c r="L33" s="331">
        <f>SUM(L31:L32)</f>
        <v>0.54309049657126263</v>
      </c>
      <c r="M33" s="260">
        <f t="shared" ref="M33:U33" si="23">SUM(M31:M32)</f>
        <v>0.54104820106300555</v>
      </c>
      <c r="N33" s="260">
        <f t="shared" si="23"/>
        <v>0.53906237033715598</v>
      </c>
      <c r="O33" s="260">
        <f t="shared" si="23"/>
        <v>0.53707064501480561</v>
      </c>
      <c r="P33" s="260">
        <f t="shared" si="23"/>
        <v>0.53517272105487168</v>
      </c>
      <c r="Q33" s="260">
        <f t="shared" si="23"/>
        <v>0.53335524037759163</v>
      </c>
      <c r="R33" s="260">
        <f t="shared" si="23"/>
        <v>0.53176467736854938</v>
      </c>
      <c r="S33" s="260">
        <f t="shared" si="23"/>
        <v>0.53029809006200013</v>
      </c>
      <c r="T33" s="260">
        <f t="shared" si="23"/>
        <v>0.52893809071366094</v>
      </c>
      <c r="U33" s="260">
        <f t="shared" si="23"/>
        <v>0.52775944015946585</v>
      </c>
      <c r="V33" s="331">
        <f>SUM(V31:V32)</f>
        <v>0.52681665791279009</v>
      </c>
    </row>
    <row r="34" spans="1:22" s="248" customFormat="1" ht="14.5" x14ac:dyDescent="0.35">
      <c r="A34" s="246" t="s">
        <v>182</v>
      </c>
      <c r="B34" s="335">
        <f>(1-B26)*0.741</f>
        <v>0.58424338269439136</v>
      </c>
      <c r="C34" s="335">
        <f t="shared" ref="C34:U34" si="24">(1-C26)*0.741</f>
        <v>0.57939261543563603</v>
      </c>
      <c r="D34" s="335">
        <f t="shared" si="24"/>
        <v>0.5750771298913272</v>
      </c>
      <c r="E34" s="335">
        <f t="shared" si="24"/>
        <v>0.57000745304403433</v>
      </c>
      <c r="F34" s="335">
        <f t="shared" si="24"/>
        <v>0.56493865114112807</v>
      </c>
      <c r="G34" s="335">
        <f t="shared" si="24"/>
        <v>0.55982562695733551</v>
      </c>
      <c r="H34" s="335">
        <f t="shared" si="24"/>
        <v>0.55459378160678607</v>
      </c>
      <c r="I34" s="335">
        <f t="shared" si="24"/>
        <v>0.54929171824999368</v>
      </c>
      <c r="J34" s="335">
        <f t="shared" si="24"/>
        <v>0.54394399030231888</v>
      </c>
      <c r="K34" s="335">
        <f t="shared" si="24"/>
        <v>0.54224171596707726</v>
      </c>
      <c r="L34" s="335">
        <f t="shared" si="24"/>
        <v>0.54069998129422381</v>
      </c>
      <c r="M34" s="335">
        <f t="shared" si="24"/>
        <v>0.53884532774947824</v>
      </c>
      <c r="N34" s="335">
        <f t="shared" si="24"/>
        <v>0.53700987459788552</v>
      </c>
      <c r="O34" s="335">
        <f t="shared" si="24"/>
        <v>0.53522294562237738</v>
      </c>
      <c r="P34" s="335">
        <f t="shared" si="24"/>
        <v>0.53349004134784772</v>
      </c>
      <c r="Q34" s="335">
        <f t="shared" si="24"/>
        <v>0.53182508940470996</v>
      </c>
      <c r="R34" s="335">
        <f t="shared" si="24"/>
        <v>0.53057749718235736</v>
      </c>
      <c r="S34" s="335">
        <f t="shared" si="24"/>
        <v>0.52966425603937473</v>
      </c>
      <c r="T34" s="335">
        <f t="shared" si="24"/>
        <v>0.52907890241598388</v>
      </c>
      <c r="U34" s="335">
        <f t="shared" si="24"/>
        <v>0.52901796653595001</v>
      </c>
      <c r="V34" s="335">
        <f>(1-V26)*0.741</f>
        <v>0.52965942351190998</v>
      </c>
    </row>
    <row r="35" spans="1:22" s="248" customFormat="1" ht="14.5" x14ac:dyDescent="0.35">
      <c r="A35" s="246" t="s">
        <v>183</v>
      </c>
      <c r="B35" s="335">
        <f>B26*0.01</f>
        <v>2.1154739177545018E-3</v>
      </c>
      <c r="C35" s="335">
        <f t="shared" ref="C35:V35" si="25">C26*0.01</f>
        <v>2.1809363638915515E-3</v>
      </c>
      <c r="D35" s="335">
        <f t="shared" si="25"/>
        <v>2.2391750352047618E-3</v>
      </c>
      <c r="E35" s="335">
        <f t="shared" si="25"/>
        <v>2.3075917268011556E-3</v>
      </c>
      <c r="F35" s="335">
        <f t="shared" si="25"/>
        <v>2.375996610780997E-3</v>
      </c>
      <c r="G35" s="335">
        <f t="shared" si="25"/>
        <v>2.4449982866756336E-3</v>
      </c>
      <c r="H35" s="335">
        <f t="shared" si="25"/>
        <v>2.5156034870879081E-3</v>
      </c>
      <c r="I35" s="335">
        <f t="shared" si="25"/>
        <v>2.5871562989204641E-3</v>
      </c>
      <c r="J35" s="335">
        <f t="shared" si="25"/>
        <v>2.6593253670402317E-3</v>
      </c>
      <c r="K35" s="335">
        <f t="shared" si="25"/>
        <v>2.6822980301339102E-3</v>
      </c>
      <c r="L35" s="335">
        <f t="shared" si="25"/>
        <v>2.7031041660698536E-3</v>
      </c>
      <c r="M35" s="335">
        <f t="shared" si="25"/>
        <v>2.7281332287519807E-3</v>
      </c>
      <c r="N35" s="335">
        <f t="shared" si="25"/>
        <v>2.75290317681666E-3</v>
      </c>
      <c r="O35" s="335">
        <f t="shared" si="25"/>
        <v>2.7770182777007101E-3</v>
      </c>
      <c r="P35" s="335">
        <f t="shared" si="25"/>
        <v>2.8004043002989513E-3</v>
      </c>
      <c r="Q35" s="335">
        <f t="shared" si="25"/>
        <v>2.8228732873858309E-3</v>
      </c>
      <c r="R35" s="335">
        <f t="shared" si="25"/>
        <v>2.8397098895768238E-3</v>
      </c>
      <c r="S35" s="335">
        <f t="shared" si="25"/>
        <v>2.8520343314524335E-3</v>
      </c>
      <c r="T35" s="335">
        <f t="shared" si="25"/>
        <v>2.8599338405400289E-3</v>
      </c>
      <c r="U35" s="335">
        <f t="shared" si="25"/>
        <v>2.8607561870991889E-3</v>
      </c>
      <c r="V35" s="335">
        <f t="shared" si="25"/>
        <v>2.852099547747503E-3</v>
      </c>
    </row>
    <row r="36" spans="1:22" s="248" customFormat="1" ht="14.5" x14ac:dyDescent="0.35">
      <c r="A36" s="261" t="s">
        <v>184</v>
      </c>
      <c r="B36" s="262">
        <f>SUM(B34:B35)</f>
        <v>0.58635885661214582</v>
      </c>
      <c r="C36" s="262">
        <f t="shared" ref="C36:V36" si="26">SUM(C34:C35)</f>
        <v>0.58157355179952763</v>
      </c>
      <c r="D36" s="262">
        <f t="shared" si="26"/>
        <v>0.57731630492653196</v>
      </c>
      <c r="E36" s="262">
        <f t="shared" si="26"/>
        <v>0.5723150447708355</v>
      </c>
      <c r="F36" s="262">
        <f t="shared" si="26"/>
        <v>0.5673146477519091</v>
      </c>
      <c r="G36" s="262">
        <f t="shared" si="26"/>
        <v>0.56227062524401117</v>
      </c>
      <c r="H36" s="262">
        <f t="shared" si="26"/>
        <v>0.55710938509387398</v>
      </c>
      <c r="I36" s="262">
        <f t="shared" si="26"/>
        <v>0.55187887454891416</v>
      </c>
      <c r="J36" s="262">
        <f t="shared" si="26"/>
        <v>0.54660331566935916</v>
      </c>
      <c r="K36" s="262">
        <f t="shared" si="26"/>
        <v>0.54492401399721113</v>
      </c>
      <c r="L36" s="332">
        <f t="shared" si="26"/>
        <v>0.5434030854602937</v>
      </c>
      <c r="M36" s="262">
        <f t="shared" si="26"/>
        <v>0.54157346097823023</v>
      </c>
      <c r="N36" s="262">
        <f t="shared" si="26"/>
        <v>0.53976277777470216</v>
      </c>
      <c r="O36" s="262">
        <f t="shared" si="26"/>
        <v>0.53799996390007809</v>
      </c>
      <c r="P36" s="262">
        <f t="shared" si="26"/>
        <v>0.53629044564814665</v>
      </c>
      <c r="Q36" s="262">
        <f t="shared" si="26"/>
        <v>0.5346479626920958</v>
      </c>
      <c r="R36" s="262">
        <f t="shared" si="26"/>
        <v>0.53341720707193419</v>
      </c>
      <c r="S36" s="262">
        <f t="shared" si="26"/>
        <v>0.53251629037082715</v>
      </c>
      <c r="T36" s="262">
        <f t="shared" si="26"/>
        <v>0.53193883625652394</v>
      </c>
      <c r="U36" s="262">
        <f t="shared" si="26"/>
        <v>0.53187872272304915</v>
      </c>
      <c r="V36" s="332">
        <f t="shared" si="26"/>
        <v>0.53251152305965743</v>
      </c>
    </row>
    <row r="37" spans="1:22" s="244" customFormat="1" ht="14.5" x14ac:dyDescent="0.35">
      <c r="A37" s="249" t="s">
        <v>185</v>
      </c>
      <c r="B37" s="258">
        <f>(1-B27)*0.78</f>
        <v>0.61499303441514885</v>
      </c>
      <c r="C37" s="258">
        <f t="shared" ref="C37:U37" si="27">(1-C27)*0.78</f>
        <v>0.61092832256608864</v>
      </c>
      <c r="D37" s="258">
        <f t="shared" si="27"/>
        <v>0.60736573043315401</v>
      </c>
      <c r="E37" s="258">
        <f t="shared" si="27"/>
        <v>0.60346145100834947</v>
      </c>
      <c r="F37" s="258">
        <f t="shared" si="27"/>
        <v>0.60006342581985583</v>
      </c>
      <c r="G37" s="258">
        <f t="shared" si="27"/>
        <v>0.59693053931698392</v>
      </c>
      <c r="H37" s="258">
        <f t="shared" si="27"/>
        <v>0.5939012544935055</v>
      </c>
      <c r="I37" s="258">
        <f t="shared" si="27"/>
        <v>0.59119333623403858</v>
      </c>
      <c r="J37" s="258">
        <f t="shared" si="27"/>
        <v>0.58913216633189147</v>
      </c>
      <c r="K37" s="258">
        <f t="shared" si="27"/>
        <v>0.59382742164545044</v>
      </c>
      <c r="L37" s="258">
        <f t="shared" si="27"/>
        <v>0.59899349882380493</v>
      </c>
      <c r="M37" s="258">
        <f t="shared" si="27"/>
        <v>0.60455130413690183</v>
      </c>
      <c r="N37" s="258">
        <f t="shared" si="27"/>
        <v>0.61067995160351418</v>
      </c>
      <c r="O37" s="258">
        <f t="shared" si="27"/>
        <v>0.61770777463605953</v>
      </c>
      <c r="P37" s="258">
        <f t="shared" si="27"/>
        <v>0.62531537774830714</v>
      </c>
      <c r="Q37" s="258">
        <f t="shared" si="27"/>
        <v>0.63362377004535431</v>
      </c>
      <c r="R37" s="258">
        <f t="shared" si="27"/>
        <v>0.64140531470036932</v>
      </c>
      <c r="S37" s="258">
        <f t="shared" si="27"/>
        <v>0.65003760896522877</v>
      </c>
      <c r="T37" s="258">
        <f t="shared" si="27"/>
        <v>0.6594790548802093</v>
      </c>
      <c r="U37" s="258">
        <f t="shared" si="27"/>
        <v>0.66958957246212536</v>
      </c>
      <c r="V37" s="258">
        <f>(1-V27)*0.78</f>
        <v>0.68018683624498688</v>
      </c>
    </row>
    <row r="38" spans="1:22" s="244" customFormat="1" ht="14.5" x14ac:dyDescent="0.35">
      <c r="A38" s="249" t="s">
        <v>186</v>
      </c>
      <c r="B38" s="258">
        <f>B27*0.05</f>
        <v>1.057736958877251E-2</v>
      </c>
      <c r="C38" s="258">
        <f t="shared" ref="C38:V38" si="28">C27*0.05</f>
        <v>1.0837928040635342E-2</v>
      </c>
      <c r="D38" s="258">
        <f t="shared" si="28"/>
        <v>1.1066299331208082E-2</v>
      </c>
      <c r="E38" s="258">
        <f t="shared" si="28"/>
        <v>1.1316573653310935E-2</v>
      </c>
      <c r="F38" s="258">
        <f t="shared" si="28"/>
        <v>1.1534395780778472E-2</v>
      </c>
      <c r="G38" s="258">
        <f t="shared" si="28"/>
        <v>1.1735221838654879E-2</v>
      </c>
      <c r="H38" s="258">
        <f t="shared" si="28"/>
        <v>1.192940676323683E-2</v>
      </c>
      <c r="I38" s="258">
        <f t="shared" si="28"/>
        <v>1.2102991267048814E-2</v>
      </c>
      <c r="J38" s="258">
        <f t="shared" si="28"/>
        <v>1.2235117542827474E-2</v>
      </c>
      <c r="K38" s="258">
        <f t="shared" si="28"/>
        <v>1.193413963811215E-2</v>
      </c>
      <c r="L38" s="258">
        <f t="shared" si="28"/>
        <v>1.1602980844627891E-2</v>
      </c>
      <c r="M38" s="258">
        <f t="shared" si="28"/>
        <v>1.1246711273275523E-2</v>
      </c>
      <c r="N38" s="258">
        <f t="shared" si="28"/>
        <v>1.085384925618499E-2</v>
      </c>
      <c r="O38" s="258">
        <f t="shared" si="28"/>
        <v>1.0403347779739773E-2</v>
      </c>
      <c r="P38" s="258">
        <f t="shared" si="28"/>
        <v>9.915680913570056E-3</v>
      </c>
      <c r="Q38" s="258">
        <f t="shared" si="28"/>
        <v>9.3830916637593405E-3</v>
      </c>
      <c r="R38" s="258">
        <f t="shared" si="28"/>
        <v>8.8842746986942736E-3</v>
      </c>
      <c r="S38" s="258">
        <f t="shared" si="28"/>
        <v>8.3309225022289261E-3</v>
      </c>
      <c r="T38" s="258">
        <f t="shared" si="28"/>
        <v>7.7257016102429982E-3</v>
      </c>
      <c r="U38" s="258">
        <f t="shared" si="28"/>
        <v>7.0775915088381229E-3</v>
      </c>
      <c r="V38" s="258">
        <f t="shared" si="28"/>
        <v>6.3982797278854617E-3</v>
      </c>
    </row>
    <row r="39" spans="1:22" s="244" customFormat="1" ht="14.5" x14ac:dyDescent="0.35">
      <c r="A39" s="263" t="s">
        <v>187</v>
      </c>
      <c r="B39" s="264">
        <f>SUM(B37:B38)</f>
        <v>0.62557040400392139</v>
      </c>
      <c r="C39" s="264">
        <f t="shared" ref="C39:U39" si="29">SUM(C37:C38)</f>
        <v>0.62176625060672397</v>
      </c>
      <c r="D39" s="264">
        <f t="shared" si="29"/>
        <v>0.61843202976436207</v>
      </c>
      <c r="E39" s="264">
        <f t="shared" si="29"/>
        <v>0.61477802466166043</v>
      </c>
      <c r="F39" s="264">
        <f t="shared" si="29"/>
        <v>0.61159782160063436</v>
      </c>
      <c r="G39" s="264">
        <f t="shared" si="29"/>
        <v>0.60866576115563875</v>
      </c>
      <c r="H39" s="264">
        <f t="shared" si="29"/>
        <v>0.60583066125674234</v>
      </c>
      <c r="I39" s="264">
        <f t="shared" si="29"/>
        <v>0.60329632750108741</v>
      </c>
      <c r="J39" s="264">
        <f t="shared" si="29"/>
        <v>0.60136728387471894</v>
      </c>
      <c r="K39" s="264">
        <f t="shared" si="29"/>
        <v>0.60576156128356262</v>
      </c>
      <c r="L39" s="264">
        <f t="shared" si="29"/>
        <v>0.61059647966843278</v>
      </c>
      <c r="M39" s="264">
        <f t="shared" si="29"/>
        <v>0.61579801541017731</v>
      </c>
      <c r="N39" s="264">
        <f t="shared" si="29"/>
        <v>0.62153380085969923</v>
      </c>
      <c r="O39" s="264">
        <f t="shared" si="29"/>
        <v>0.62811112241579925</v>
      </c>
      <c r="P39" s="264">
        <f t="shared" si="29"/>
        <v>0.63523105866187723</v>
      </c>
      <c r="Q39" s="264">
        <f t="shared" si="29"/>
        <v>0.6430068617091137</v>
      </c>
      <c r="R39" s="264">
        <f t="shared" si="29"/>
        <v>0.65028958939906356</v>
      </c>
      <c r="S39" s="264">
        <f t="shared" si="29"/>
        <v>0.65836853146745766</v>
      </c>
      <c r="T39" s="264">
        <f t="shared" si="29"/>
        <v>0.6672047564904523</v>
      </c>
      <c r="U39" s="264">
        <f t="shared" si="29"/>
        <v>0.67666716397096349</v>
      </c>
      <c r="V39" s="264">
        <f>SUM(V37:V38)</f>
        <v>0.68658511597287231</v>
      </c>
    </row>
    <row r="40" spans="1:22" ht="15" x14ac:dyDescent="0.3">
      <c r="A40" s="4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2" ht="15" x14ac:dyDescent="0.3">
      <c r="A41" s="47" t="s">
        <v>260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</row>
    <row r="42" spans="1:22" ht="15" x14ac:dyDescent="0.3">
      <c r="A42" s="49">
        <v>1.012</v>
      </c>
      <c r="B42" s="36" t="s">
        <v>226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</row>
    <row r="43" spans="1:22" ht="15.5" x14ac:dyDescent="0.35">
      <c r="A43" s="168" t="s">
        <v>15</v>
      </c>
      <c r="B43" s="333">
        <v>31.5</v>
      </c>
      <c r="C43" s="333">
        <f>(31.5-1)*$A$42+C6</f>
        <v>31.725480564939826</v>
      </c>
      <c r="D43" s="333">
        <f>(C43-C6)*$A$42+D6</f>
        <v>32.101489039523919</v>
      </c>
      <c r="E43" s="333">
        <f t="shared" ref="E43:V43" si="30">(D43-D6)*$A$42+E6</f>
        <v>32.43408260411654</v>
      </c>
      <c r="F43" s="333">
        <f t="shared" si="30"/>
        <v>32.779233396597355</v>
      </c>
      <c r="G43" s="333">
        <f t="shared" si="30"/>
        <v>33.133794803695459</v>
      </c>
      <c r="H43" s="333">
        <f t="shared" si="30"/>
        <v>33.492547175279149</v>
      </c>
      <c r="I43" s="333">
        <f t="shared" si="30"/>
        <v>33.859276005480609</v>
      </c>
      <c r="J43" s="333">
        <f>(I43-I6)*$A$42+J6</f>
        <v>34.236002759990967</v>
      </c>
      <c r="K43" s="333">
        <f t="shared" si="30"/>
        <v>34.624473440041761</v>
      </c>
      <c r="L43" s="333">
        <f t="shared" si="30"/>
        <v>35.0182059147769</v>
      </c>
      <c r="M43" s="333">
        <f t="shared" si="30"/>
        <v>35.401304753491644</v>
      </c>
      <c r="N43" s="333">
        <f t="shared" si="30"/>
        <v>35.793863479117576</v>
      </c>
      <c r="O43" s="333">
        <f t="shared" si="30"/>
        <v>36.191289841595569</v>
      </c>
      <c r="P43" s="333">
        <f t="shared" si="30"/>
        <v>36.601310098029955</v>
      </c>
      <c r="Q43" s="333">
        <f t="shared" si="30"/>
        <v>37.023153848576932</v>
      </c>
      <c r="R43" s="333">
        <f t="shared" si="30"/>
        <v>37.468602838292185</v>
      </c>
      <c r="S43" s="333">
        <f t="shared" si="30"/>
        <v>37.930228991630564</v>
      </c>
      <c r="T43" s="333">
        <f t="shared" si="30"/>
        <v>38.407171666107288</v>
      </c>
      <c r="U43" s="333">
        <f t="shared" si="30"/>
        <v>38.906151893056872</v>
      </c>
      <c r="V43" s="333">
        <f t="shared" si="30"/>
        <v>39.432752981636469</v>
      </c>
    </row>
    <row r="44" spans="1:22" ht="15.5" x14ac:dyDescent="0.35">
      <c r="A44" s="170" t="s">
        <v>16</v>
      </c>
      <c r="B44" s="333">
        <v>31.5</v>
      </c>
      <c r="C44" s="333">
        <f>(31.5-1)*$A$42+C7</f>
        <v>31.998404183152033</v>
      </c>
      <c r="D44" s="333">
        <f t="shared" ref="D44:U44" si="31">(C44-C7)*$A$42+D7</f>
        <v>32.385244493934266</v>
      </c>
      <c r="E44" s="333">
        <f t="shared" si="31"/>
        <v>32.727733775542418</v>
      </c>
      <c r="F44" s="333">
        <f t="shared" si="31"/>
        <v>33.091260687697108</v>
      </c>
      <c r="G44" s="333">
        <f t="shared" si="31"/>
        <v>33.464175728955858</v>
      </c>
      <c r="H44" s="333">
        <f t="shared" si="31"/>
        <v>33.840364749136214</v>
      </c>
      <c r="I44" s="333">
        <f t="shared" si="31"/>
        <v>34.219633770489246</v>
      </c>
      <c r="J44" s="333">
        <f t="shared" si="31"/>
        <v>34.611852678164269</v>
      </c>
      <c r="K44" s="333">
        <f t="shared" si="31"/>
        <v>35.019283697409087</v>
      </c>
      <c r="L44" s="333">
        <f t="shared" si="31"/>
        <v>35.444374226168001</v>
      </c>
      <c r="M44" s="333">
        <f t="shared" si="31"/>
        <v>35.851810327296612</v>
      </c>
      <c r="N44" s="333">
        <f t="shared" si="31"/>
        <v>36.266313897896168</v>
      </c>
      <c r="O44" s="333">
        <f t="shared" si="31"/>
        <v>36.6902722752614</v>
      </c>
      <c r="P44" s="333">
        <f t="shared" si="31"/>
        <v>37.12432021826406</v>
      </c>
      <c r="Q44" s="333">
        <f t="shared" si="31"/>
        <v>37.569792788972613</v>
      </c>
      <c r="R44" s="333">
        <f t="shared" si="31"/>
        <v>38.054971810539342</v>
      </c>
      <c r="S44" s="333">
        <f t="shared" si="31"/>
        <v>38.574942852812661</v>
      </c>
      <c r="T44" s="333">
        <f t="shared" si="31"/>
        <v>39.131136987998346</v>
      </c>
      <c r="U44" s="333">
        <f t="shared" si="31"/>
        <v>39.743028566230677</v>
      </c>
      <c r="V44" s="333">
        <f>(U44-U7)*$A$42+V7</f>
        <v>40.431568220953842</v>
      </c>
    </row>
    <row r="45" spans="1:22" ht="15.5" x14ac:dyDescent="0.35">
      <c r="A45" s="172" t="s">
        <v>17</v>
      </c>
      <c r="B45" s="129">
        <v>46</v>
      </c>
      <c r="C45" s="129">
        <f>(46-1)*$A$42+C8</f>
        <v>47.300981999825417</v>
      </c>
      <c r="D45" s="129">
        <f t="shared" ref="D45:V45" si="32">(C45-C8)*$A$42+D8</f>
        <v>47.955524458176463</v>
      </c>
      <c r="E45" s="129">
        <f t="shared" si="32"/>
        <v>48.60067544001646</v>
      </c>
      <c r="F45" s="129">
        <f t="shared" si="32"/>
        <v>49.304335872683161</v>
      </c>
      <c r="G45" s="129">
        <f t="shared" si="32"/>
        <v>50.049974653617802</v>
      </c>
      <c r="H45" s="129">
        <f t="shared" si="32"/>
        <v>50.826471155531507</v>
      </c>
      <c r="I45" s="129">
        <f t="shared" si="32"/>
        <v>51.654988822806111</v>
      </c>
      <c r="J45" s="129">
        <f t="shared" si="32"/>
        <v>52.569755727670014</v>
      </c>
      <c r="K45" s="129">
        <f t="shared" si="32"/>
        <v>53.607367606361535</v>
      </c>
      <c r="L45" s="129">
        <f t="shared" si="32"/>
        <v>54.757063439373987</v>
      </c>
      <c r="M45" s="129">
        <f t="shared" si="32"/>
        <v>56.031680541764771</v>
      </c>
      <c r="N45" s="129">
        <f t="shared" si="32"/>
        <v>57.481293893047265</v>
      </c>
      <c r="O45" s="129">
        <f t="shared" si="32"/>
        <v>59.199173286004203</v>
      </c>
      <c r="P45" s="129">
        <f t="shared" si="32"/>
        <v>61.205004289652742</v>
      </c>
      <c r="Q45" s="129">
        <f t="shared" si="32"/>
        <v>63.604282479901926</v>
      </c>
      <c r="R45" s="129">
        <f t="shared" si="32"/>
        <v>66.213266554684083</v>
      </c>
      <c r="S45" s="129">
        <f t="shared" si="32"/>
        <v>69.43903727215293</v>
      </c>
      <c r="T45" s="129">
        <f t="shared" si="32"/>
        <v>73.492349748975641</v>
      </c>
      <c r="U45" s="129">
        <f t="shared" si="32"/>
        <v>78.643431852209915</v>
      </c>
      <c r="V45" s="129">
        <f t="shared" si="32"/>
        <v>85.261714293112263</v>
      </c>
    </row>
    <row r="46" spans="1:22" x14ac:dyDescent="0.3">
      <c r="A46" s="49"/>
    </row>
    <row r="47" spans="1:22" ht="15" x14ac:dyDescent="0.3">
      <c r="A47" s="4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</row>
    <row r="48" spans="1:22" ht="15" x14ac:dyDescent="0.3">
      <c r="A48" s="4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</row>
    <row r="49" spans="1:22" x14ac:dyDescent="0.3">
      <c r="A49" s="15" t="s">
        <v>213</v>
      </c>
      <c r="B49" s="10">
        <v>2010</v>
      </c>
      <c r="C49" s="10">
        <v>2011</v>
      </c>
      <c r="D49" s="1">
        <v>2012</v>
      </c>
      <c r="E49" s="1">
        <v>2013</v>
      </c>
      <c r="F49" s="1">
        <v>2014</v>
      </c>
      <c r="G49" s="1">
        <v>2015</v>
      </c>
      <c r="H49" s="1">
        <v>2016</v>
      </c>
      <c r="I49" s="1">
        <v>2017</v>
      </c>
      <c r="J49" s="1">
        <v>2018</v>
      </c>
      <c r="K49" s="1">
        <v>2019</v>
      </c>
      <c r="L49" s="1">
        <v>2020</v>
      </c>
      <c r="M49" s="1">
        <v>2021</v>
      </c>
      <c r="N49" s="1">
        <v>2022</v>
      </c>
      <c r="O49" s="1">
        <v>2023</v>
      </c>
      <c r="P49" s="1">
        <v>2024</v>
      </c>
      <c r="Q49" s="1">
        <v>2025</v>
      </c>
      <c r="R49" s="1">
        <v>2026</v>
      </c>
      <c r="S49" s="1">
        <v>2027</v>
      </c>
      <c r="T49" s="1">
        <v>2028</v>
      </c>
      <c r="U49" s="1">
        <v>2029</v>
      </c>
      <c r="V49" s="1">
        <v>2030</v>
      </c>
    </row>
    <row r="50" spans="1:22" s="64" customFormat="1" ht="15.5" x14ac:dyDescent="0.35">
      <c r="A50" s="168" t="s">
        <v>15</v>
      </c>
      <c r="B50" s="169">
        <f t="shared" ref="B50:U50" si="33">B6/B$43</f>
        <v>2.7732357778869E-2</v>
      </c>
      <c r="C50" s="169">
        <f t="shared" si="33"/>
        <v>2.7091175598759749E-2</v>
      </c>
      <c r="D50" s="169">
        <f t="shared" si="33"/>
        <v>2.6948813447837203E-2</v>
      </c>
      <c r="E50" s="169">
        <f t="shared" si="33"/>
        <v>2.537003775195731E-2</v>
      </c>
      <c r="F50" s="169">
        <f t="shared" si="33"/>
        <v>2.4060048586469332E-2</v>
      </c>
      <c r="G50" s="169">
        <f t="shared" si="33"/>
        <v>2.2917525697400184E-2</v>
      </c>
      <c r="H50" s="169">
        <f t="shared" si="33"/>
        <v>2.1784057184827486E-2</v>
      </c>
      <c r="I50" s="169">
        <f t="shared" si="33"/>
        <v>2.0767634537468764E-2</v>
      </c>
      <c r="J50" s="169">
        <f t="shared" si="33"/>
        <v>1.9921444738991372E-2</v>
      </c>
      <c r="K50" s="169">
        <f t="shared" si="33"/>
        <v>1.9288485435000991E-2</v>
      </c>
      <c r="L50" s="169">
        <f t="shared" si="33"/>
        <v>1.8679046279785554E-2</v>
      </c>
      <c r="M50" s="169">
        <f t="shared" si="33"/>
        <v>1.7650093443518595E-2</v>
      </c>
      <c r="N50" s="169">
        <f t="shared" si="33"/>
        <v>1.6764813384807811E-2</v>
      </c>
      <c r="O50" s="169">
        <f t="shared" si="33"/>
        <v>1.5892729275285192E-2</v>
      </c>
      <c r="P50" s="169">
        <f t="shared" si="33"/>
        <v>1.5240036186574431E-2</v>
      </c>
      <c r="Q50" s="169">
        <f t="shared" si="33"/>
        <v>1.4777968010580353E-2</v>
      </c>
      <c r="R50" s="169">
        <f t="shared" si="33"/>
        <v>1.4808762764674905E-2</v>
      </c>
      <c r="S50" s="169">
        <f t="shared" si="33"/>
        <v>1.5120523890540959E-2</v>
      </c>
      <c r="T50" s="169">
        <f t="shared" si="33"/>
        <v>1.5679029027641043E-2</v>
      </c>
      <c r="U50" s="169">
        <f t="shared" si="33"/>
        <v>1.6642806877218044E-2</v>
      </c>
      <c r="V50" s="169">
        <f>V6/V$43</f>
        <v>1.8132259985886395E-2</v>
      </c>
    </row>
    <row r="51" spans="1:22" s="64" customFormat="1" ht="15.5" x14ac:dyDescent="0.35">
      <c r="A51" s="170" t="s">
        <v>16</v>
      </c>
      <c r="B51" s="171">
        <f t="shared" ref="B51:U51" si="34">B7/B$44</f>
        <v>3.6147750065942737E-2</v>
      </c>
      <c r="C51" s="171">
        <f t="shared" si="34"/>
        <v>3.5389395567053748E-2</v>
      </c>
      <c r="D51" s="171">
        <f t="shared" si="34"/>
        <v>3.5474566021863566E-2</v>
      </c>
      <c r="E51" s="171">
        <f t="shared" si="34"/>
        <v>3.4114952144250907E-2</v>
      </c>
      <c r="F51" s="171">
        <f t="shared" si="34"/>
        <v>3.3262475238917767E-2</v>
      </c>
      <c r="G51" s="171">
        <f t="shared" si="34"/>
        <v>3.2563943243447468E-2</v>
      </c>
      <c r="H51" s="171">
        <f t="shared" si="34"/>
        <v>3.1838342901323834E-2</v>
      </c>
      <c r="I51" s="171">
        <f t="shared" si="34"/>
        <v>3.1079667360757089E-2</v>
      </c>
      <c r="J51" s="171">
        <f t="shared" si="34"/>
        <v>3.0564112388811748E-2</v>
      </c>
      <c r="K51" s="171">
        <f t="shared" si="34"/>
        <v>3.0345106947140706E-2</v>
      </c>
      <c r="L51" s="171">
        <f t="shared" si="34"/>
        <v>3.0478038444552852E-2</v>
      </c>
      <c r="M51" s="171">
        <f t="shared" si="34"/>
        <v>2.9994075638290076E-2</v>
      </c>
      <c r="N51" s="171">
        <f t="shared" si="34"/>
        <v>2.9573666167089955E-2</v>
      </c>
      <c r="O51" s="171">
        <f t="shared" si="34"/>
        <v>2.927644682446089E-2</v>
      </c>
      <c r="P51" s="171">
        <f t="shared" si="34"/>
        <v>2.9113406097396283E-2</v>
      </c>
      <c r="Q51" s="171">
        <f t="shared" si="34"/>
        <v>2.9112908068574011E-2</v>
      </c>
      <c r="R51" s="171">
        <f t="shared" si="34"/>
        <v>2.9989054478479011E-2</v>
      </c>
      <c r="S51" s="171">
        <f t="shared" si="34"/>
        <v>3.1581091369909872E-2</v>
      </c>
      <c r="T51" s="171">
        <f t="shared" si="34"/>
        <v>3.3889955247665693E-2</v>
      </c>
      <c r="U51" s="171">
        <f t="shared" si="34"/>
        <v>3.7349550324076872E-2</v>
      </c>
      <c r="V51" s="171">
        <f>V7/V$44</f>
        <v>4.2388169535591859E-2</v>
      </c>
    </row>
    <row r="52" spans="1:22" s="64" customFormat="1" ht="15.5" x14ac:dyDescent="0.35">
      <c r="A52" s="172" t="s">
        <v>17</v>
      </c>
      <c r="B52" s="173">
        <f t="shared" ref="B52:V52" si="35">B8/B$45</f>
        <v>3.7024324491804525E-2</v>
      </c>
      <c r="C52" s="173">
        <f t="shared" si="35"/>
        <v>3.722929050039419E-2</v>
      </c>
      <c r="D52" s="173">
        <f t="shared" si="35"/>
        <v>3.8974538998244421E-2</v>
      </c>
      <c r="E52" s="173">
        <f t="shared" si="35"/>
        <v>4.0352477867039924E-2</v>
      </c>
      <c r="F52" s="173">
        <f t="shared" si="35"/>
        <v>4.2696932476672986E-2</v>
      </c>
      <c r="G52" s="173">
        <f t="shared" si="35"/>
        <v>4.5642228445269294E-2</v>
      </c>
      <c r="H52" s="173">
        <f t="shared" si="35"/>
        <v>4.8945005129315593E-2</v>
      </c>
      <c r="I52" s="173">
        <f t="shared" si="35"/>
        <v>5.2969798075140455E-2</v>
      </c>
      <c r="J52" s="173">
        <f t="shared" si="35"/>
        <v>5.8282470139488091E-2</v>
      </c>
      <c r="K52" s="173">
        <f t="shared" si="35"/>
        <v>6.5428259726796043E-2</v>
      </c>
      <c r="L52" s="173">
        <f t="shared" si="35"/>
        <v>7.4071419817789308E-2</v>
      </c>
      <c r="M52" s="173">
        <f t="shared" si="35"/>
        <v>8.4276197513187323E-2</v>
      </c>
      <c r="N52" s="173">
        <f t="shared" si="35"/>
        <v>9.6658154828051568E-2</v>
      </c>
      <c r="O52" s="173">
        <f t="shared" si="35"/>
        <v>0.11234636788925592</v>
      </c>
      <c r="P52" s="173">
        <f t="shared" si="35"/>
        <v>0.13113409374454291</v>
      </c>
      <c r="Q52" s="173">
        <f t="shared" si="35"/>
        <v>0.15387633160176437</v>
      </c>
      <c r="R52" s="173">
        <f t="shared" si="35"/>
        <v>0.17746251291551485</v>
      </c>
      <c r="S52" s="173">
        <f t="shared" si="35"/>
        <v>0.20626133691731241</v>
      </c>
      <c r="T52" s="173">
        <f t="shared" si="35"/>
        <v>0.24103874506683884</v>
      </c>
      <c r="U52" s="173">
        <f t="shared" si="35"/>
        <v>0.28223910355960929</v>
      </c>
      <c r="V52" s="173">
        <f t="shared" si="35"/>
        <v>0.330009409490018</v>
      </c>
    </row>
    <row r="53" spans="1:22" x14ac:dyDescent="0.3">
      <c r="J53" s="15"/>
    </row>
    <row r="54" spans="1:22" x14ac:dyDescent="0.3">
      <c r="A54" s="36"/>
      <c r="E54" s="13"/>
      <c r="F54" s="13"/>
      <c r="G54" s="13"/>
      <c r="H54" s="13"/>
      <c r="I54" s="13"/>
    </row>
    <row r="55" spans="1:22" ht="18.5" x14ac:dyDescent="0.45">
      <c r="B55" s="155" t="s">
        <v>57</v>
      </c>
      <c r="C55" s="155"/>
      <c r="D55" s="155"/>
      <c r="E55" s="156"/>
      <c r="F55" s="157" t="s">
        <v>16</v>
      </c>
      <c r="G55" s="158"/>
      <c r="H55" s="158"/>
      <c r="I55" s="156"/>
      <c r="J55" s="342"/>
      <c r="K55" s="343"/>
      <c r="L55" s="343"/>
      <c r="M55" s="146"/>
      <c r="N55" s="146"/>
    </row>
    <row r="56" spans="1:22" ht="18.5" x14ac:dyDescent="0.45">
      <c r="B56" s="155"/>
      <c r="C56" s="155"/>
      <c r="D56" s="155"/>
      <c r="E56" s="156"/>
      <c r="F56" s="157"/>
      <c r="G56" s="158"/>
      <c r="H56" s="158"/>
      <c r="I56" s="156"/>
      <c r="J56" s="342"/>
      <c r="K56" s="343"/>
      <c r="L56" s="343"/>
      <c r="M56" s="146"/>
      <c r="N56" s="146"/>
    </row>
    <row r="57" spans="1:22" ht="18.5" x14ac:dyDescent="0.45">
      <c r="B57" s="155">
        <v>2010</v>
      </c>
      <c r="C57" s="155"/>
      <c r="D57" s="155"/>
      <c r="E57" s="156"/>
      <c r="F57" s="157">
        <v>2010</v>
      </c>
      <c r="G57" s="157"/>
      <c r="H57" s="157"/>
      <c r="I57" s="156"/>
      <c r="J57" s="343"/>
      <c r="K57" s="343"/>
      <c r="L57" s="343"/>
      <c r="M57" s="146"/>
      <c r="N57" s="146"/>
      <c r="P57" s="326"/>
    </row>
    <row r="58" spans="1:22" ht="18.5" x14ac:dyDescent="0.45">
      <c r="B58" s="155" t="s">
        <v>214</v>
      </c>
      <c r="C58" s="159">
        <f>'Cons Dev Best '!D32</f>
        <v>812.99200000000008</v>
      </c>
      <c r="D58" s="166">
        <f>C58/$C$62</f>
        <v>0.54584481968857756</v>
      </c>
      <c r="E58" s="156"/>
      <c r="F58" s="157" t="s">
        <v>91</v>
      </c>
      <c r="G58" s="161">
        <f>'Cons Dev Expe'!D33</f>
        <v>1088.4199999999998</v>
      </c>
      <c r="H58" s="167">
        <f>G58/$G$62</f>
        <v>0.56049039961941316</v>
      </c>
      <c r="I58" s="156"/>
      <c r="J58" s="343"/>
      <c r="K58" s="344"/>
      <c r="L58" s="345"/>
      <c r="M58" s="346"/>
      <c r="N58" s="146"/>
    </row>
    <row r="59" spans="1:22" ht="18.5" x14ac:dyDescent="0.45">
      <c r="B59" s="155" t="s">
        <v>92</v>
      </c>
      <c r="C59" s="159">
        <f>'WAN FAN Wi-Fi'!G106</f>
        <v>296.69477647058824</v>
      </c>
      <c r="D59" s="166">
        <f>C59/$C$62</f>
        <v>0.19920159948084487</v>
      </c>
      <c r="E59" s="156"/>
      <c r="F59" s="157" t="s">
        <v>92</v>
      </c>
      <c r="G59" s="161">
        <f>'WAN FAN Wi-Fi'!G130</f>
        <v>365.65236705882353</v>
      </c>
      <c r="H59" s="167">
        <f>G59/$G$62</f>
        <v>0.1882955489007776</v>
      </c>
      <c r="I59" s="156"/>
      <c r="J59" s="343"/>
      <c r="K59" s="344"/>
      <c r="L59" s="345"/>
      <c r="M59" s="346"/>
      <c r="N59" s="146"/>
    </row>
    <row r="60" spans="1:22" ht="18.5" x14ac:dyDescent="0.45">
      <c r="B60" s="155" t="s">
        <v>45</v>
      </c>
      <c r="C60" s="159">
        <f>DataCenters!F7</f>
        <v>189.38880000000003</v>
      </c>
      <c r="D60" s="166">
        <f>C60/$C$62</f>
        <v>0.12715610410315978</v>
      </c>
      <c r="E60" s="156"/>
      <c r="F60" s="157" t="s">
        <v>45</v>
      </c>
      <c r="G60" s="161">
        <f>DataCenters!F8</f>
        <v>196.40320000000003</v>
      </c>
      <c r="H60" s="167">
        <f>G60/$G$62</f>
        <v>0.1011393653686367</v>
      </c>
      <c r="I60" s="156"/>
      <c r="J60" s="343"/>
      <c r="K60" s="344"/>
      <c r="L60" s="345"/>
      <c r="M60" s="346"/>
      <c r="N60" s="146"/>
    </row>
    <row r="61" spans="1:22" ht="18.5" x14ac:dyDescent="0.45">
      <c r="B61" s="155" t="s">
        <v>93</v>
      </c>
      <c r="C61" s="159">
        <f>Production!B41</f>
        <v>190.34407298919569</v>
      </c>
      <c r="D61" s="166">
        <f>C61/$C$62</f>
        <v>0.12779747672741792</v>
      </c>
      <c r="E61" s="156"/>
      <c r="F61" s="157" t="s">
        <v>93</v>
      </c>
      <c r="G61" s="161">
        <f>Production!B60</f>
        <v>291.43102177671062</v>
      </c>
      <c r="H61" s="167">
        <f>G61/$G$62</f>
        <v>0.15007468611117258</v>
      </c>
      <c r="I61" s="156"/>
      <c r="J61" s="343"/>
      <c r="K61" s="344"/>
      <c r="L61" s="345"/>
      <c r="M61" s="346"/>
      <c r="N61" s="146"/>
    </row>
    <row r="62" spans="1:22" ht="18.5" x14ac:dyDescent="0.45">
      <c r="B62" s="155"/>
      <c r="C62" s="162">
        <f>SUM(C58:C61)</f>
        <v>1489.4196494597838</v>
      </c>
      <c r="D62" s="155"/>
      <c r="E62" s="156"/>
      <c r="F62" s="157"/>
      <c r="G62" s="165">
        <f>SUM(G58:G61)</f>
        <v>1941.906588835534</v>
      </c>
      <c r="H62" s="157"/>
      <c r="I62" s="156"/>
      <c r="J62" s="344"/>
      <c r="K62" s="347"/>
      <c r="L62" s="343"/>
      <c r="M62" s="146"/>
      <c r="N62" s="146"/>
    </row>
    <row r="63" spans="1:22" ht="18.5" x14ac:dyDescent="0.45">
      <c r="B63" s="155"/>
      <c r="C63" s="160"/>
      <c r="D63" s="155"/>
      <c r="E63" s="156"/>
      <c r="F63" s="157"/>
      <c r="G63" s="158"/>
      <c r="H63" s="158"/>
      <c r="I63" s="156"/>
      <c r="J63" s="343"/>
      <c r="K63" s="342"/>
      <c r="L63" s="343"/>
      <c r="M63" s="146"/>
      <c r="N63" s="146"/>
    </row>
    <row r="64" spans="1:22" ht="18.5" x14ac:dyDescent="0.45">
      <c r="B64" s="155">
        <v>2020</v>
      </c>
      <c r="C64" s="155"/>
      <c r="D64" s="155"/>
      <c r="E64" s="156"/>
      <c r="F64" s="157">
        <v>2020</v>
      </c>
      <c r="G64" s="157"/>
      <c r="H64" s="157"/>
      <c r="I64" s="156"/>
      <c r="J64" s="343"/>
      <c r="K64" s="343"/>
      <c r="L64" s="343"/>
      <c r="M64" s="146"/>
      <c r="N64" s="146"/>
    </row>
    <row r="65" spans="2:14" ht="18.5" x14ac:dyDescent="0.45">
      <c r="B65" s="155" t="s">
        <v>215</v>
      </c>
      <c r="C65" s="159">
        <f>'Cons Dev Best '!N32</f>
        <v>619.82959923386886</v>
      </c>
      <c r="D65" s="166">
        <f>C65/$C$69</f>
        <v>0.5146309776998953</v>
      </c>
      <c r="E65" s="156"/>
      <c r="F65" s="152" t="s">
        <v>215</v>
      </c>
      <c r="G65" s="161">
        <f>'Cons Dev Expe'!N33</f>
        <v>1038.5234219383763</v>
      </c>
      <c r="H65" s="167">
        <f>G65/$G$69</f>
        <v>0.52240108457851675</v>
      </c>
      <c r="I65" s="156"/>
      <c r="J65" s="348"/>
      <c r="K65" s="344"/>
      <c r="L65" s="345"/>
      <c r="M65" s="146"/>
      <c r="N65" s="146"/>
    </row>
    <row r="66" spans="2:14" ht="18.5" x14ac:dyDescent="0.45">
      <c r="B66" s="155" t="s">
        <v>92</v>
      </c>
      <c r="C66" s="159">
        <f>'WAN FAN Wi-Fi'!Q106</f>
        <v>159.50739954800733</v>
      </c>
      <c r="D66" s="166">
        <f>C66/$C$69</f>
        <v>0.13243550982596156</v>
      </c>
      <c r="E66" s="156"/>
      <c r="F66" s="152" t="s">
        <v>92</v>
      </c>
      <c r="G66" s="161">
        <f>'WAN FAN Wi-Fi'!Q130</f>
        <v>269.3035720534682</v>
      </c>
      <c r="H66" s="167">
        <f>G66/$G$69</f>
        <v>0.13546586928103818</v>
      </c>
      <c r="I66" s="156"/>
      <c r="J66" s="348"/>
      <c r="K66" s="344"/>
      <c r="L66" s="345"/>
      <c r="M66" s="146"/>
      <c r="N66" s="146"/>
    </row>
    <row r="67" spans="2:14" ht="18.5" x14ac:dyDescent="0.45">
      <c r="B67" s="155" t="s">
        <v>45</v>
      </c>
      <c r="C67" s="159">
        <f>DataCenters!P7</f>
        <v>195.98871657824199</v>
      </c>
      <c r="D67" s="166">
        <f>C67/$C$69</f>
        <v>0.16272515051794423</v>
      </c>
      <c r="E67" s="156"/>
      <c r="F67" s="157" t="s">
        <v>45</v>
      </c>
      <c r="G67" s="161">
        <f>DataCenters!P8</f>
        <v>299.4284224516482</v>
      </c>
      <c r="H67" s="167">
        <f>G67/$G$69</f>
        <v>0.15061935950411048</v>
      </c>
      <c r="I67" s="156"/>
      <c r="J67" s="343"/>
      <c r="K67" s="344"/>
      <c r="L67" s="345"/>
      <c r="M67" s="146"/>
      <c r="N67" s="146"/>
    </row>
    <row r="68" spans="2:14" ht="18.5" x14ac:dyDescent="0.45">
      <c r="B68" s="155" t="s">
        <v>93</v>
      </c>
      <c r="C68" s="159">
        <f>Production!L41</f>
        <v>229.08992631802354</v>
      </c>
      <c r="D68" s="166">
        <f>C68/$C$69</f>
        <v>0.19020836195619889</v>
      </c>
      <c r="E68" s="156"/>
      <c r="F68" s="157" t="s">
        <v>93</v>
      </c>
      <c r="G68" s="161">
        <f>Production!L60</f>
        <v>380.72556712639556</v>
      </c>
      <c r="H68" s="167">
        <f>G68/$G$69</f>
        <v>0.19151368663633445</v>
      </c>
      <c r="I68" s="156"/>
      <c r="J68" s="343"/>
      <c r="K68" s="344"/>
      <c r="L68" s="345"/>
      <c r="M68" s="146"/>
      <c r="N68" s="146"/>
    </row>
    <row r="69" spans="2:14" ht="18.5" x14ac:dyDescent="0.45">
      <c r="B69" s="155"/>
      <c r="C69" s="162">
        <f>SUM(C65:C68)</f>
        <v>1204.4156416781418</v>
      </c>
      <c r="D69" s="155"/>
      <c r="E69" s="156"/>
      <c r="F69" s="157"/>
      <c r="G69" s="165">
        <f>SUM(G65:G68)</f>
        <v>1987.9809835698884</v>
      </c>
      <c r="H69" s="157"/>
      <c r="I69" s="156"/>
      <c r="J69" s="343"/>
      <c r="K69" s="347"/>
      <c r="L69" s="343"/>
      <c r="M69" s="146"/>
      <c r="N69" s="146"/>
    </row>
    <row r="70" spans="2:14" ht="18.5" x14ac:dyDescent="0.45">
      <c r="B70" s="155"/>
      <c r="C70" s="155"/>
      <c r="D70" s="155"/>
      <c r="E70" s="156"/>
      <c r="F70" s="157"/>
      <c r="G70" s="157"/>
      <c r="H70" s="157"/>
      <c r="I70" s="156"/>
      <c r="J70" s="343"/>
      <c r="K70" s="343"/>
      <c r="L70" s="343"/>
      <c r="M70" s="146"/>
      <c r="N70" s="146"/>
    </row>
    <row r="71" spans="2:14" ht="18.5" x14ac:dyDescent="0.45">
      <c r="B71" s="155">
        <v>2030</v>
      </c>
      <c r="C71" s="163"/>
      <c r="D71" s="155"/>
      <c r="E71" s="156"/>
      <c r="F71" s="157">
        <v>2030</v>
      </c>
      <c r="G71" s="164"/>
      <c r="H71" s="167"/>
      <c r="I71" s="156"/>
      <c r="J71" s="343"/>
      <c r="K71" s="349"/>
      <c r="L71" s="343"/>
      <c r="M71" s="146"/>
      <c r="N71" s="146"/>
    </row>
    <row r="72" spans="2:14" ht="18.5" x14ac:dyDescent="0.45">
      <c r="B72" s="155" t="s">
        <v>215</v>
      </c>
      <c r="C72" s="159">
        <f>'Cons Dev Best '!X32</f>
        <v>440.98982651296217</v>
      </c>
      <c r="D72" s="166">
        <f>C72/$C$76</f>
        <v>0.32492193710438622</v>
      </c>
      <c r="E72" s="156"/>
      <c r="F72" s="152" t="s">
        <v>215</v>
      </c>
      <c r="G72" s="161">
        <f>'Cons Dev Expe'!X33</f>
        <v>1072.9527648587175</v>
      </c>
      <c r="H72" s="167">
        <f>G72/$G$76</f>
        <v>0.3333837012430092</v>
      </c>
      <c r="I72" s="156"/>
      <c r="J72" s="348"/>
      <c r="K72" s="344"/>
      <c r="L72" s="345"/>
      <c r="M72" s="146"/>
      <c r="N72" s="146"/>
    </row>
    <row r="73" spans="2:14" ht="18.5" x14ac:dyDescent="0.45">
      <c r="B73" s="155" t="s">
        <v>92</v>
      </c>
      <c r="C73" s="159">
        <f>'WAN FAN Wi-Fi'!AA106</f>
        <v>399.26146187019049</v>
      </c>
      <c r="D73" s="166">
        <f>C73/$C$76</f>
        <v>0.29417641814505252</v>
      </c>
      <c r="E73" s="156"/>
      <c r="F73" s="157" t="s">
        <v>92</v>
      </c>
      <c r="G73" s="161">
        <f>'WAN FAN Wi-Fi'!AA130</f>
        <v>873.63485971258115</v>
      </c>
      <c r="H73" s="167">
        <f>G73/$G$76</f>
        <v>0.27145241860134345</v>
      </c>
      <c r="I73" s="156"/>
      <c r="J73" s="343"/>
      <c r="K73" s="344"/>
      <c r="L73" s="345"/>
      <c r="M73" s="146"/>
      <c r="N73" s="146"/>
    </row>
    <row r="74" spans="2:14" ht="18.5" x14ac:dyDescent="0.45">
      <c r="B74" s="155" t="s">
        <v>45</v>
      </c>
      <c r="C74" s="159">
        <f>DataCenters!Z7</f>
        <v>366.43888061544607</v>
      </c>
      <c r="D74" s="166">
        <f>C74/$C$76</f>
        <v>0.26999269316802244</v>
      </c>
      <c r="E74" s="156"/>
      <c r="F74" s="157" t="s">
        <v>45</v>
      </c>
      <c r="G74" s="161">
        <f>DataCenters!Z8</f>
        <v>973.74650014109261</v>
      </c>
      <c r="H74" s="167">
        <f>G74/$G$76</f>
        <v>0.30255871732826006</v>
      </c>
      <c r="I74" s="156"/>
      <c r="J74" s="343"/>
      <c r="K74" s="344"/>
      <c r="L74" s="345"/>
      <c r="M74" s="146"/>
      <c r="N74" s="146"/>
    </row>
    <row r="75" spans="2:14" ht="18.5" x14ac:dyDescent="0.45">
      <c r="B75" s="155" t="s">
        <v>93</v>
      </c>
      <c r="C75" s="159">
        <f>Production!V41</f>
        <v>150.52759980747419</v>
      </c>
      <c r="D75" s="166">
        <f>C75/$C$76</f>
        <v>0.11090895158253888</v>
      </c>
      <c r="E75" s="156"/>
      <c r="F75" s="157" t="s">
        <v>93</v>
      </c>
      <c r="G75" s="161">
        <f>Production!V60</f>
        <v>298.03786185519311</v>
      </c>
      <c r="H75" s="167">
        <f>G75/$G$76</f>
        <v>9.2605162827387316E-2</v>
      </c>
      <c r="I75" s="156"/>
      <c r="J75" s="343"/>
      <c r="K75" s="344"/>
      <c r="L75" s="345"/>
      <c r="M75" s="146"/>
      <c r="N75" s="146"/>
    </row>
    <row r="76" spans="2:14" ht="18.5" x14ac:dyDescent="0.45">
      <c r="B76" s="160"/>
      <c r="C76" s="162">
        <f>SUM(C72:C75)</f>
        <v>1357.2177688060729</v>
      </c>
      <c r="D76" s="155"/>
      <c r="E76" s="156"/>
      <c r="F76" s="158"/>
      <c r="G76" s="165">
        <f>SUM(G72:G75)</f>
        <v>3218.3719865675844</v>
      </c>
      <c r="H76" s="157"/>
      <c r="I76" s="156"/>
      <c r="J76" s="342"/>
      <c r="K76" s="347"/>
      <c r="L76" s="343"/>
      <c r="M76" s="146"/>
      <c r="N76" s="146"/>
    </row>
    <row r="77" spans="2:14" ht="14.25" customHeight="1" x14ac:dyDescent="0.3">
      <c r="J77" s="146"/>
      <c r="K77" s="146"/>
      <c r="L77" s="146"/>
      <c r="M77" s="146"/>
      <c r="N77" s="146"/>
    </row>
    <row r="78" spans="2:14" ht="14.25" customHeight="1" x14ac:dyDescent="0.3">
      <c r="J78" s="146"/>
      <c r="K78" s="146"/>
      <c r="L78" s="146"/>
      <c r="M78" s="146"/>
      <c r="N78" s="146"/>
    </row>
    <row r="142" spans="1:28" ht="67.5" x14ac:dyDescent="0.3">
      <c r="B142" s="10">
        <v>2010</v>
      </c>
      <c r="C142" s="10">
        <v>2011</v>
      </c>
      <c r="D142" s="1">
        <v>2012</v>
      </c>
      <c r="E142" s="1">
        <v>2013</v>
      </c>
      <c r="F142" s="1">
        <v>2014</v>
      </c>
      <c r="G142" s="1">
        <v>2015</v>
      </c>
      <c r="H142" s="1">
        <v>2016</v>
      </c>
      <c r="I142" s="1">
        <v>2017</v>
      </c>
      <c r="J142" s="1">
        <v>2018</v>
      </c>
      <c r="K142" s="1">
        <v>2019</v>
      </c>
      <c r="L142" s="1">
        <v>2020</v>
      </c>
      <c r="M142" s="1">
        <v>2021</v>
      </c>
      <c r="N142" s="1">
        <v>2022</v>
      </c>
      <c r="O142" s="1">
        <v>2023</v>
      </c>
      <c r="P142" s="1">
        <v>2024</v>
      </c>
      <c r="Q142" s="1">
        <v>2025</v>
      </c>
      <c r="R142" s="1">
        <v>2026</v>
      </c>
      <c r="S142" s="1">
        <v>2027</v>
      </c>
      <c r="T142" s="1">
        <v>2028</v>
      </c>
      <c r="U142" s="1">
        <v>2029</v>
      </c>
      <c r="V142" s="1">
        <v>2030</v>
      </c>
      <c r="W142" s="301" t="s">
        <v>293</v>
      </c>
      <c r="X142" s="301" t="s">
        <v>294</v>
      </c>
      <c r="Y142" s="3" t="s">
        <v>305</v>
      </c>
      <c r="Z142" s="301" t="s">
        <v>306</v>
      </c>
      <c r="AA142" s="301" t="s">
        <v>308</v>
      </c>
      <c r="AB142" s="301" t="s">
        <v>307</v>
      </c>
    </row>
    <row r="143" spans="1:28" x14ac:dyDescent="0.3">
      <c r="A143" s="36" t="s">
        <v>215</v>
      </c>
      <c r="B143" s="18">
        <f>'Cons Dev Best '!D32</f>
        <v>812.99200000000008</v>
      </c>
      <c r="C143" s="18">
        <f>'Cons Dev Best '!E32</f>
        <v>782.77528124999992</v>
      </c>
      <c r="D143" s="18">
        <f>'Cons Dev Best '!F32</f>
        <v>759.4336393328125</v>
      </c>
      <c r="E143" s="18">
        <f>'Cons Dev Best '!G32</f>
        <v>735.02621170353927</v>
      </c>
      <c r="F143" s="18">
        <f>'Cons Dev Best '!H32</f>
        <v>713.18784622258204</v>
      </c>
      <c r="G143" s="18">
        <f>'Cons Dev Best '!I32</f>
        <v>692.73843171290298</v>
      </c>
      <c r="H143" s="18">
        <f>'Cons Dev Best '!J32</f>
        <v>673.94959864972907</v>
      </c>
      <c r="I143" s="18">
        <f>'Cons Dev Best '!K32</f>
        <v>657.51015871614106</v>
      </c>
      <c r="J143" s="18">
        <f>'Cons Dev Best '!L32</f>
        <v>643.49347181904557</v>
      </c>
      <c r="K143" s="18">
        <f>'Cons Dev Best '!M32</f>
        <v>631.17991480533954</v>
      </c>
      <c r="L143" s="18">
        <f>'Cons Dev Best '!N32</f>
        <v>619.82959923386886</v>
      </c>
      <c r="M143" s="18">
        <f>'Cons Dev Best '!O32</f>
        <v>598.83220804978021</v>
      </c>
      <c r="N143" s="18">
        <f>'Cons Dev Best '!P32</f>
        <v>570.83789519922732</v>
      </c>
      <c r="O143" s="18">
        <f>'Cons Dev Best '!Q32</f>
        <v>537.22462692612351</v>
      </c>
      <c r="P143" s="18">
        <f>'Cons Dev Best '!R32</f>
        <v>508.65856475317935</v>
      </c>
      <c r="Q143" s="18">
        <f>'Cons Dev Best '!S32</f>
        <v>484.45872165338307</v>
      </c>
      <c r="R143" s="18">
        <f>'Cons Dev Best '!T32</f>
        <v>466.29996065226669</v>
      </c>
      <c r="S143" s="18">
        <f>'Cons Dev Best '!U32</f>
        <v>452.83238907771238</v>
      </c>
      <c r="T143" s="18">
        <f>'Cons Dev Best '!V32</f>
        <v>443.3832194865837</v>
      </c>
      <c r="U143" s="18">
        <f>'Cons Dev Best '!W32</f>
        <v>439.14331708733636</v>
      </c>
      <c r="V143" s="18">
        <f>'Cons Dev Best '!X32</f>
        <v>440.98982651296217</v>
      </c>
      <c r="W143" s="13">
        <f t="shared" ref="W143:W148" si="36">B143/$B$21</f>
        <v>4.1947887105928491E-2</v>
      </c>
      <c r="X143" s="13">
        <f t="shared" ref="X143:X148" si="37">V143/$V$21</f>
        <v>1.3039406941831751E-2</v>
      </c>
    </row>
    <row r="144" spans="1:28" x14ac:dyDescent="0.3">
      <c r="A144" s="36" t="s">
        <v>266</v>
      </c>
      <c r="B144" s="18">
        <f>'WAN FAN Wi-Fi'!E264</f>
        <v>162</v>
      </c>
      <c r="C144" s="18">
        <f>'WAN FAN Wi-Fi'!F264</f>
        <v>178</v>
      </c>
      <c r="D144" s="18">
        <f>'WAN FAN Wi-Fi'!G264</f>
        <v>196.24</v>
      </c>
      <c r="E144" s="18">
        <f>'WAN FAN Wi-Fi'!H264</f>
        <v>185.41757276595743</v>
      </c>
      <c r="F144" s="18">
        <f>'WAN FAN Wi-Fi'!I264</f>
        <v>175.63409854638297</v>
      </c>
      <c r="G144" s="18">
        <f>'WAN FAN Wi-Fi'!J264</f>
        <v>166.78983785188765</v>
      </c>
      <c r="H144" s="18">
        <f>'WAN FAN Wi-Fi'!K264</f>
        <v>158.79462618406387</v>
      </c>
      <c r="I144" s="18">
        <f>'WAN FAN Wi-Fi'!L264</f>
        <v>151.56695483635119</v>
      </c>
      <c r="J144" s="18">
        <f>'WAN FAN Wi-Fi'!M264</f>
        <v>145.03313993801893</v>
      </c>
      <c r="K144" s="18">
        <f>'WAN FAN Wi-Fi'!N264</f>
        <v>139.12657126992653</v>
      </c>
      <c r="L144" s="18">
        <f>'WAN FAN Wi-Fi'!O264</f>
        <v>133.78703319397104</v>
      </c>
      <c r="M144" s="18">
        <f>'WAN FAN Wi-Fi'!P264</f>
        <v>128.96009077330729</v>
      </c>
      <c r="N144" s="18">
        <f>'WAN FAN Wi-Fi'!Q264</f>
        <v>126.15399151034006</v>
      </c>
      <c r="O144" s="18">
        <f>'WAN FAN Wi-Fi'!R264</f>
        <v>125.21402946965131</v>
      </c>
      <c r="P144" s="18">
        <f>'WAN FAN Wi-Fi'!S264</f>
        <v>126.06996946086254</v>
      </c>
      <c r="Q144" s="18">
        <f>'WAN FAN Wi-Fi'!T264</f>
        <v>128.72893279459115</v>
      </c>
      <c r="R144" s="18">
        <f>'WAN FAN Wi-Fi'!U264</f>
        <v>137.9777003315159</v>
      </c>
      <c r="S144" s="18">
        <f>'WAN FAN Wi-Fi'!V264</f>
        <v>151.53917699279796</v>
      </c>
      <c r="T144" s="18">
        <f>'WAN FAN Wi-Fi'!W264</f>
        <v>168.58577162374181</v>
      </c>
      <c r="U144" s="18">
        <f>'WAN FAN Wi-Fi'!X264</f>
        <v>191.99800415877064</v>
      </c>
      <c r="V144" s="18">
        <f>'WAN FAN Wi-Fi'!Y264</f>
        <v>223.72192736620448</v>
      </c>
      <c r="W144" s="13">
        <f t="shared" si="36"/>
        <v>8.3587018213714462E-3</v>
      </c>
      <c r="X144" s="13">
        <f t="shared" si="37"/>
        <v>6.6151214321791604E-3</v>
      </c>
      <c r="Z144" s="303">
        <f>(V144+V145+V147)/(SUM(V143:V148))</f>
        <v>0.47824252674230655</v>
      </c>
    </row>
    <row r="145" spans="1:28" x14ac:dyDescent="0.3">
      <c r="A145" s="36" t="s">
        <v>265</v>
      </c>
      <c r="B145" s="18">
        <f>'WAN FAN Wi-Fi'!E305</f>
        <v>42.1</v>
      </c>
      <c r="C145" s="18">
        <f>'WAN FAN Wi-Fi'!F305</f>
        <v>46.4</v>
      </c>
      <c r="D145" s="18">
        <f>'WAN FAN Wi-Fi'!G305</f>
        <v>51.4</v>
      </c>
      <c r="E145" s="18">
        <f>'WAN FAN Wi-Fi'!H305</f>
        <v>51.400000000000006</v>
      </c>
      <c r="F145" s="18">
        <f>'WAN FAN Wi-Fi'!I305</f>
        <v>51.400000000000006</v>
      </c>
      <c r="G145" s="18">
        <f>'WAN FAN Wi-Fi'!J305</f>
        <v>51.400000000000006</v>
      </c>
      <c r="H145" s="18">
        <f>'WAN FAN Wi-Fi'!K305</f>
        <v>51.400000000000006</v>
      </c>
      <c r="I145" s="18">
        <f>'WAN FAN Wi-Fi'!L305</f>
        <v>51.400000000000006</v>
      </c>
      <c r="J145" s="18">
        <f>'WAN FAN Wi-Fi'!M305</f>
        <v>51.400000000000006</v>
      </c>
      <c r="K145" s="18">
        <f>'WAN FAN Wi-Fi'!N305</f>
        <v>51.400000000000006</v>
      </c>
      <c r="L145" s="18">
        <f>'WAN FAN Wi-Fi'!O305</f>
        <v>51.400000000000006</v>
      </c>
      <c r="M145" s="18">
        <f>'WAN FAN Wi-Fi'!P305</f>
        <v>51.400000000000006</v>
      </c>
      <c r="N145" s="18">
        <f>'WAN FAN Wi-Fi'!Q305</f>
        <v>52.042500000000004</v>
      </c>
      <c r="O145" s="18">
        <f>'WAN FAN Wi-Fi'!R305</f>
        <v>53.343562500000004</v>
      </c>
      <c r="P145" s="18">
        <f>'WAN FAN Wi-Fi'!S305</f>
        <v>55.343946093750006</v>
      </c>
      <c r="Q145" s="18">
        <f>'WAN FAN Wi-Fi'!T305</f>
        <v>58.111143398437498</v>
      </c>
      <c r="R145" s="18">
        <f>'WAN FAN Wi-Fi'!U305</f>
        <v>63.922257738281253</v>
      </c>
      <c r="S145" s="18">
        <f>'WAN FAN Wi-Fi'!V305</f>
        <v>71.912539955566416</v>
      </c>
      <c r="T145" s="18">
        <f>'WAN FAN Wi-Fi'!W305</f>
        <v>81.800514199456813</v>
      </c>
      <c r="U145" s="18">
        <f>'WAN FAN Wi-Fi'!X305</f>
        <v>95.093097756868545</v>
      </c>
      <c r="V145" s="18">
        <f>'WAN FAN Wi-Fi'!Y305</f>
        <v>112.92305358628138</v>
      </c>
      <c r="W145" s="13">
        <f t="shared" si="36"/>
        <v>2.1722305350601106E-3</v>
      </c>
      <c r="X145" s="13">
        <f t="shared" si="37"/>
        <v>3.3389651196012709E-3</v>
      </c>
      <c r="Z145" s="303"/>
      <c r="AA145" s="303">
        <f>V145/(SUM(V143:V148))</f>
        <v>7.6811045490541616E-2</v>
      </c>
    </row>
    <row r="146" spans="1:28" x14ac:dyDescent="0.3">
      <c r="A146" s="36" t="s">
        <v>223</v>
      </c>
      <c r="B146" s="18">
        <f>'WAN FAN Wi-Fi'!G104</f>
        <v>134.69477647058824</v>
      </c>
      <c r="C146" s="18">
        <f>'WAN FAN Wi-Fi'!H104</f>
        <v>125.90228225999998</v>
      </c>
      <c r="D146" s="18">
        <f>'WAN FAN Wi-Fi'!I104</f>
        <v>116.00045411541173</v>
      </c>
      <c r="E146" s="18">
        <f>'WAN FAN Wi-Fi'!J104</f>
        <v>95.669677678492206</v>
      </c>
      <c r="F146" s="18">
        <f>'WAN FAN Wi-Fi'!K104</f>
        <v>78.76252347857988</v>
      </c>
      <c r="G146" s="18">
        <f>'WAN FAN Wi-Fi'!L104</f>
        <v>64.470301470187195</v>
      </c>
      <c r="H146" s="18">
        <f>'WAN FAN Wi-Fi'!M104</f>
        <v>52.282858884050803</v>
      </c>
      <c r="I146" s="18">
        <f>'WAN FAN Wi-Fi'!N104</f>
        <v>41.282642254314034</v>
      </c>
      <c r="J146" s="18">
        <f>'WAN FAN Wi-Fi'!O104</f>
        <v>34.969549988503182</v>
      </c>
      <c r="K146" s="18">
        <f>'WAN FAN Wi-Fi'!P104</f>
        <v>29.552460650839553</v>
      </c>
      <c r="L146" s="18">
        <f>'WAN FAN Wi-Fi'!Q104</f>
        <v>25.72036635403629</v>
      </c>
      <c r="M146" s="18">
        <f>'WAN FAN Wi-Fi'!R104</f>
        <v>20.767071186384143</v>
      </c>
      <c r="N146" s="18">
        <f>'WAN FAN Wi-Fi'!S104</f>
        <v>23.997861215634739</v>
      </c>
      <c r="O146" s="18">
        <f>'WAN FAN Wi-Fi'!T104</f>
        <v>26.252037178884116</v>
      </c>
      <c r="P146" s="18">
        <f>'WAN FAN Wi-Fi'!U104</f>
        <v>31.162568851999698</v>
      </c>
      <c r="Q146" s="18">
        <f>'WAN FAN Wi-Fi'!V104</f>
        <v>38.094407099255292</v>
      </c>
      <c r="R146" s="18">
        <f>'WAN FAN Wi-Fi'!W104</f>
        <v>54.457061579801149</v>
      </c>
      <c r="S146" s="18">
        <f>'WAN FAN Wi-Fi'!X104</f>
        <v>74.05540233558898</v>
      </c>
      <c r="T146" s="18">
        <f>'WAN FAN Wi-Fi'!Y104</f>
        <v>98.221878959063019</v>
      </c>
      <c r="U146" s="18">
        <f>'WAN FAN Wi-Fi'!Z104</f>
        <v>130.60334361057156</v>
      </c>
      <c r="V146" s="18">
        <f>'WAN FAN Wi-Fi'!AA104</f>
        <v>175.53953450398603</v>
      </c>
      <c r="W146" s="13">
        <f t="shared" si="36"/>
        <v>6.9498362556415167E-3</v>
      </c>
      <c r="X146" s="13">
        <f t="shared" si="37"/>
        <v>5.1904404300581082E-3</v>
      </c>
      <c r="Y146" s="303">
        <f>V146/(V146+V145+V144)</f>
        <v>0.34272714072103627</v>
      </c>
      <c r="Z146" s="303"/>
      <c r="AA146" s="303"/>
    </row>
    <row r="147" spans="1:28" x14ac:dyDescent="0.3">
      <c r="A147" s="36" t="s">
        <v>224</v>
      </c>
      <c r="B147" s="18">
        <f>DataCenters!D19</f>
        <v>189.38880000000003</v>
      </c>
      <c r="C147" s="18">
        <f>DataCenters!E19</f>
        <v>199.06560000000002</v>
      </c>
      <c r="D147" s="18">
        <f>DataCenters!F19</f>
        <v>230.03136000000001</v>
      </c>
      <c r="E147" s="18">
        <f>DataCenters!G19</f>
        <v>219.41452800000002</v>
      </c>
      <c r="F147" s="18">
        <f>DataCenters!H19</f>
        <v>215.90389555199999</v>
      </c>
      <c r="G147" s="18">
        <f>DataCenters!I19</f>
        <v>212.449433223168</v>
      </c>
      <c r="H147" s="18">
        <f>DataCenters!J19</f>
        <v>209.05024229159733</v>
      </c>
      <c r="I147" s="18">
        <f>DataCenters!K19</f>
        <v>205.70543841493173</v>
      </c>
      <c r="J147" s="18">
        <f>DataCenters!L19</f>
        <v>202.41415140029287</v>
      </c>
      <c r="K147" s="18">
        <f>DataCenters!M19</f>
        <v>199.17552497788819</v>
      </c>
      <c r="L147" s="18">
        <f>DataCenters!N19</f>
        <v>195.98871657824199</v>
      </c>
      <c r="M147" s="18">
        <f>DataCenters!O19</f>
        <v>192.85289711299015</v>
      </c>
      <c r="N147" s="18">
        <f>DataCenters!P19</f>
        <v>192.13934139367208</v>
      </c>
      <c r="O147" s="18">
        <f>DataCenters!Q19</f>
        <v>193.79173972965765</v>
      </c>
      <c r="P147" s="18">
        <f>DataCenters!R19</f>
        <v>197.84198709000748</v>
      </c>
      <c r="Q147" s="18">
        <f>DataCenters!S19</f>
        <v>204.41034106139571</v>
      </c>
      <c r="R147" s="18">
        <f>DataCenters!T19</f>
        <v>221.25375316485471</v>
      </c>
      <c r="S147" s="18">
        <f>DataCenters!U19</f>
        <v>244.92790475349418</v>
      </c>
      <c r="T147" s="18">
        <f>DataCenters!V19</f>
        <v>274.14780379058607</v>
      </c>
      <c r="U147" s="18">
        <f>DataCenters!W19</f>
        <v>313.5976727560514</v>
      </c>
      <c r="V147" s="18">
        <f>DataCenters!X19</f>
        <v>366.43888061544607</v>
      </c>
      <c r="W147" s="13">
        <f t="shared" si="36"/>
        <v>9.7718796759713143E-3</v>
      </c>
      <c r="X147" s="304">
        <f t="shared" si="37"/>
        <v>1.0835047423738376E-2</v>
      </c>
      <c r="Y147" s="303"/>
      <c r="Z147" s="303"/>
      <c r="AA147" s="303"/>
      <c r="AB147" s="303">
        <f>V147/SUM(V143:V148)</f>
        <v>0.24925427213097964</v>
      </c>
    </row>
    <row r="148" spans="1:28" ht="13.5" customHeight="1" x14ac:dyDescent="0.3">
      <c r="A148" s="36" t="s">
        <v>93</v>
      </c>
      <c r="B148" s="18">
        <f>Production!B41</f>
        <v>190.34407298919569</v>
      </c>
      <c r="C148" s="18">
        <f>Production!C41</f>
        <v>191.7131544083673</v>
      </c>
      <c r="D148" s="18">
        <f>Production!D41</f>
        <v>196.37195370757857</v>
      </c>
      <c r="E148" s="18">
        <f>Production!E41</f>
        <v>201.84949930120683</v>
      </c>
      <c r="F148" s="18">
        <f>Production!F41</f>
        <v>206.31892103747504</v>
      </c>
      <c r="G148" s="18">
        <f>Production!G41</f>
        <v>213.68581834688101</v>
      </c>
      <c r="H148" s="18">
        <f>Production!H41</f>
        <v>215.19442612624422</v>
      </c>
      <c r="I148" s="18">
        <f>Production!I41</f>
        <v>217.74369986750409</v>
      </c>
      <c r="J148" s="18">
        <f>Production!J41</f>
        <v>221.51625465840661</v>
      </c>
      <c r="K148" s="18">
        <f>Production!K41</f>
        <v>226.56408155507754</v>
      </c>
      <c r="L148" s="18">
        <f>Production!L41</f>
        <v>229.08992631802354</v>
      </c>
      <c r="M148" s="18">
        <f>Production!M41</f>
        <v>213.45034159517397</v>
      </c>
      <c r="N148" s="18">
        <f>Production!N41</f>
        <v>200.05831638591664</v>
      </c>
      <c r="O148" s="18">
        <f>Production!O41</f>
        <v>188.47234129521732</v>
      </c>
      <c r="P148" s="18">
        <f>Production!P41</f>
        <v>178.55712461896104</v>
      </c>
      <c r="Q148" s="18">
        <f>Production!Q41</f>
        <v>170.12855461628834</v>
      </c>
      <c r="R148" s="18">
        <f>Production!R41</f>
        <v>163.44986113487138</v>
      </c>
      <c r="S148" s="18">
        <f>Production!S41</f>
        <v>158.15936268195978</v>
      </c>
      <c r="T148" s="18">
        <f>Production!T41</f>
        <v>154.14458154331402</v>
      </c>
      <c r="U148" s="18">
        <f>Production!U41</f>
        <v>151.55674371153464</v>
      </c>
      <c r="V148" s="18">
        <f>Production!V41</f>
        <v>150.52759980747419</v>
      </c>
      <c r="W148" s="13">
        <f t="shared" si="36"/>
        <v>9.8211688245805531E-3</v>
      </c>
      <c r="X148" s="13">
        <f t="shared" si="37"/>
        <v>4.4508750811491967E-3</v>
      </c>
      <c r="Y148" s="303"/>
      <c r="Z148" s="303"/>
      <c r="AA148" s="303"/>
      <c r="AB148" s="303"/>
    </row>
    <row r="149" spans="1:28" x14ac:dyDescent="0.3">
      <c r="A149" s="36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3"/>
      <c r="X149" s="13"/>
      <c r="Y149" s="303"/>
      <c r="Z149" s="303"/>
      <c r="AA149" s="303"/>
      <c r="AB149" s="303"/>
    </row>
    <row r="150" spans="1:28" x14ac:dyDescent="0.3">
      <c r="W150" s="13"/>
      <c r="X150" s="13"/>
      <c r="Y150" s="303"/>
      <c r="Z150" s="303"/>
      <c r="AA150" s="303"/>
      <c r="AB150" s="303"/>
    </row>
    <row r="151" spans="1:28" x14ac:dyDescent="0.3">
      <c r="B151" s="10">
        <v>2010</v>
      </c>
      <c r="C151" s="10">
        <v>2011</v>
      </c>
      <c r="D151" s="1">
        <v>2012</v>
      </c>
      <c r="E151" s="1">
        <v>2013</v>
      </c>
      <c r="F151" s="1">
        <v>2014</v>
      </c>
      <c r="G151" s="1">
        <v>2015</v>
      </c>
      <c r="H151" s="1">
        <v>2016</v>
      </c>
      <c r="I151" s="1">
        <v>2017</v>
      </c>
      <c r="J151" s="1">
        <v>2018</v>
      </c>
      <c r="K151" s="1">
        <v>2019</v>
      </c>
      <c r="L151" s="1">
        <v>2020</v>
      </c>
      <c r="M151" s="1">
        <v>2021</v>
      </c>
      <c r="N151" s="1">
        <v>2022</v>
      </c>
      <c r="O151" s="1">
        <v>2023</v>
      </c>
      <c r="P151" s="1">
        <v>2024</v>
      </c>
      <c r="Q151" s="1">
        <v>2025</v>
      </c>
      <c r="R151" s="1">
        <v>2026</v>
      </c>
      <c r="S151" s="1">
        <v>2027</v>
      </c>
      <c r="T151" s="1">
        <v>2028</v>
      </c>
      <c r="U151" s="1">
        <v>2029</v>
      </c>
      <c r="V151" s="1">
        <v>2030</v>
      </c>
      <c r="W151" s="13"/>
      <c r="X151" s="13"/>
      <c r="Y151" s="303"/>
      <c r="Z151" s="303"/>
      <c r="AA151" s="303"/>
      <c r="AB151" s="303"/>
    </row>
    <row r="152" spans="1:28" x14ac:dyDescent="0.3">
      <c r="A152" s="36" t="s">
        <v>215</v>
      </c>
      <c r="B152" s="18">
        <f>'Cons Dev Best '!G42</f>
        <v>1088.4199999999998</v>
      </c>
      <c r="C152" s="18">
        <f>'Cons Dev Best '!H42</f>
        <v>1065.44307875</v>
      </c>
      <c r="D152" s="18">
        <f>'Cons Dev Best '!I42</f>
        <v>1049.9421761648125</v>
      </c>
      <c r="E152" s="18">
        <f>'Cons Dev Best '!J42</f>
        <v>1035.4245784797611</v>
      </c>
      <c r="F152" s="18">
        <f>'Cons Dev Best '!K42</f>
        <v>1025.0269286937832</v>
      </c>
      <c r="G152" s="18">
        <f>'Cons Dev Best '!L42</f>
        <v>1018.7870757360428</v>
      </c>
      <c r="H152" s="18">
        <f>'Cons Dev Best '!M42</f>
        <v>1015.6228403356639</v>
      </c>
      <c r="I152" s="18">
        <f>'Cons Dev Best '!N42</f>
        <v>1011.6276133400809</v>
      </c>
      <c r="J152" s="18">
        <f>'Cons Dev Best '!O42</f>
        <v>1011.0271091336995</v>
      </c>
      <c r="K152" s="18">
        <f>'Cons Dev Best '!P42</f>
        <v>1013.68584316188</v>
      </c>
      <c r="L152" s="18">
        <f>'Cons Dev Best '!Q42</f>
        <v>1038.5234219383763</v>
      </c>
      <c r="M152" s="18">
        <f>'Cons Dev Best '!R42</f>
        <v>1051.1192126601939</v>
      </c>
      <c r="N152" s="18">
        <f>'Cons Dev Best '!S42</f>
        <v>1054.3354920626057</v>
      </c>
      <c r="O152" s="18">
        <f>'Cons Dev Best '!T42</f>
        <v>1049.2865957437225</v>
      </c>
      <c r="P152" s="18">
        <f>'Cons Dev Best '!U42</f>
        <v>1036.6037323885841</v>
      </c>
      <c r="Q152" s="18">
        <f>'Cons Dev Best '!V42</f>
        <v>1016.7411876808794</v>
      </c>
      <c r="R152" s="18">
        <f>'Cons Dev Best '!W42</f>
        <v>1007.8264868914262</v>
      </c>
      <c r="S152" s="18">
        <f>'Cons Dev Best '!X42</f>
        <v>1008.1782067997772</v>
      </c>
      <c r="T152" s="18">
        <f>'Cons Dev Best '!Y42</f>
        <v>1017.1690064520277</v>
      </c>
      <c r="U152" s="18">
        <f>'Cons Dev Best '!Z42</f>
        <v>1037.8097717444268</v>
      </c>
      <c r="V152" s="18">
        <f>'Cons Dev Best '!AA42</f>
        <v>1072.9527648587175</v>
      </c>
      <c r="W152" s="13">
        <f t="shared" ref="W152:W157" si="38">B152/$B$22</f>
        <v>5.615912491615499E-2</v>
      </c>
      <c r="X152" s="13">
        <f t="shared" ref="X152:X157" si="39">V152/$V$22</f>
        <v>3.0861689495252097E-2</v>
      </c>
      <c r="Y152" s="303"/>
      <c r="Z152" s="303"/>
      <c r="AA152" s="303"/>
      <c r="AB152" s="303"/>
    </row>
    <row r="153" spans="1:28" x14ac:dyDescent="0.3">
      <c r="A153" s="36" t="s">
        <v>266</v>
      </c>
      <c r="B153" s="18">
        <f>'WAN FAN Wi-Fi'!E265</f>
        <v>162</v>
      </c>
      <c r="C153" s="18">
        <f>'WAN FAN Wi-Fi'!F265</f>
        <v>178</v>
      </c>
      <c r="D153" s="18">
        <f>'WAN FAN Wi-Fi'!G265</f>
        <v>196.24</v>
      </c>
      <c r="E153" s="18">
        <f>'WAN FAN Wi-Fi'!H265</f>
        <v>189.65969702127663</v>
      </c>
      <c r="F153" s="18">
        <f>'WAN FAN Wi-Fi'!I265</f>
        <v>184.08601338553194</v>
      </c>
      <c r="G153" s="18">
        <f>'WAN FAN Wi-Fi'!J265</f>
        <v>179.44746869781792</v>
      </c>
      <c r="H153" s="18">
        <f>'WAN FAN Wi-Fi'!K265</f>
        <v>178.3749784510639</v>
      </c>
      <c r="I153" s="18">
        <f>'WAN FAN Wi-Fi'!L265</f>
        <v>175.48403824422135</v>
      </c>
      <c r="J153" s="18">
        <f>'WAN FAN Wi-Fi'!M265</f>
        <v>173.35974309145502</v>
      </c>
      <c r="K153" s="18">
        <f>'WAN FAN Wi-Fi'!N265</f>
        <v>171.95511792064113</v>
      </c>
      <c r="L153" s="18">
        <f>'WAN FAN Wi-Fi'!O265</f>
        <v>171.22814105370821</v>
      </c>
      <c r="M153" s="18">
        <f>'WAN FAN Wi-Fi'!P265</f>
        <v>171.14134109146875</v>
      </c>
      <c r="N153" s="18">
        <f>'WAN FAN Wi-Fi'!Q265</f>
        <v>173.80719846622486</v>
      </c>
      <c r="O153" s="18">
        <f>'WAN FAN Wi-Fi'!R265</f>
        <v>179.29142197934556</v>
      </c>
      <c r="P153" s="18">
        <f>'WAN FAN Wi-Fi'!S265</f>
        <v>187.79049610537172</v>
      </c>
      <c r="Q153" s="18">
        <f>'WAN FAN Wi-Fi'!T265</f>
        <v>199.64246734084227</v>
      </c>
      <c r="R153" s="18">
        <f>'WAN FAN Wi-Fi'!U265</f>
        <v>222.9488690176</v>
      </c>
      <c r="S153" s="18">
        <f>'WAN FAN Wi-Fi'!V265</f>
        <v>255.26656817614005</v>
      </c>
      <c r="T153" s="18">
        <f>'WAN FAN Wi-Fi'!W265</f>
        <v>296.1879146172372</v>
      </c>
      <c r="U153" s="18">
        <f>'WAN FAN Wi-Fi'!X265</f>
        <v>351.95004861788806</v>
      </c>
      <c r="V153" s="18">
        <f>'WAN FAN Wi-Fi'!Y265</f>
        <v>428.00745525592885</v>
      </c>
      <c r="W153" s="13">
        <f t="shared" si="38"/>
        <v>8.3587018213714462E-3</v>
      </c>
      <c r="X153" s="13">
        <f t="shared" si="39"/>
        <v>1.2310917701489682E-2</v>
      </c>
      <c r="Y153" s="303"/>
      <c r="Z153" s="303">
        <f>(V153+V154+V156)/(SUM(V152:V157))</f>
        <v>0.47384849452540156</v>
      </c>
      <c r="AA153" s="303"/>
      <c r="AB153" s="303"/>
    </row>
    <row r="154" spans="1:28" x14ac:dyDescent="0.3">
      <c r="A154" s="36" t="s">
        <v>265</v>
      </c>
      <c r="B154" s="18">
        <f>'WAN FAN Wi-Fi'!E306</f>
        <v>42.1</v>
      </c>
      <c r="C154" s="18">
        <f>'WAN FAN Wi-Fi'!F306</f>
        <v>46.4</v>
      </c>
      <c r="D154" s="18">
        <f>'WAN FAN Wi-Fi'!G306</f>
        <v>51.4</v>
      </c>
      <c r="E154" s="18">
        <f>'WAN FAN Wi-Fi'!H306</f>
        <v>53.45600000000001</v>
      </c>
      <c r="F154" s="18">
        <f>'WAN FAN Wi-Fi'!I306</f>
        <v>55.594240000000013</v>
      </c>
      <c r="G154" s="18">
        <f>'WAN FAN Wi-Fi'!J306</f>
        <v>57.818009600000018</v>
      </c>
      <c r="H154" s="18">
        <f>'WAN FAN Wi-Fi'!K306</f>
        <v>61.581312000000018</v>
      </c>
      <c r="I154" s="18">
        <f>'WAN FAN Wi-Fi'!L306</f>
        <v>64.04456448000002</v>
      </c>
      <c r="J154" s="18">
        <f>'WAN FAN Wi-Fi'!M306</f>
        <v>66.606347059200033</v>
      </c>
      <c r="K154" s="18">
        <f>'WAN FAN Wi-Fi'!N306</f>
        <v>69.270600941568034</v>
      </c>
      <c r="L154" s="18">
        <f>'WAN FAN Wi-Fi'!O306</f>
        <v>72.041424979230769</v>
      </c>
      <c r="M154" s="18">
        <f>'WAN FAN Wi-Fi'!P306</f>
        <v>74.923081978400006</v>
      </c>
      <c r="N154" s="18">
        <f>'WAN FAN Wi-Fi'!Q306</f>
        <v>78.894005323255215</v>
      </c>
      <c r="O154" s="18">
        <f>'WAN FAN Wi-Fi'!R306</f>
        <v>84.10100967459006</v>
      </c>
      <c r="P154" s="18">
        <f>'WAN FAN Wi-Fi'!S306</f>
        <v>90.744989438882669</v>
      </c>
      <c r="Q154" s="18">
        <f>'WAN FAN Wi-Fi'!T306</f>
        <v>99.093528467259873</v>
      </c>
      <c r="R154" s="18">
        <f>'WAN FAN Wi-Fi'!U306</f>
        <v>113.36299656654531</v>
      </c>
      <c r="S154" s="18">
        <f>'WAN FAN Wi-Fi'!V306</f>
        <v>132.63470598285801</v>
      </c>
      <c r="T154" s="18">
        <f>'WAN FAN Wi-Fi'!W306</f>
        <v>156.90685717772104</v>
      </c>
      <c r="U154" s="18">
        <f>'WAN FAN Wi-Fi'!X306</f>
        <v>189.70039032786474</v>
      </c>
      <c r="V154" s="18">
        <f>'WAN FAN Wi-Fi'!Y306</f>
        <v>234.27998205491295</v>
      </c>
      <c r="W154" s="13">
        <f t="shared" si="38"/>
        <v>2.1722305350601106E-3</v>
      </c>
      <c r="X154" s="13">
        <f t="shared" si="39"/>
        <v>6.7386713543573498E-3</v>
      </c>
      <c r="Y154" s="303"/>
      <c r="Z154" s="303"/>
      <c r="AA154" s="303">
        <f>V154/(SUM(V152:V157))</f>
        <v>6.7855081886050481E-2</v>
      </c>
      <c r="AB154" s="303"/>
    </row>
    <row r="155" spans="1:28" x14ac:dyDescent="0.3">
      <c r="A155" s="36" t="s">
        <v>223</v>
      </c>
      <c r="B155" s="18">
        <f>'WAN FAN Wi-Fi'!G128</f>
        <v>203.6523670588235</v>
      </c>
      <c r="C155" s="18">
        <f>'WAN FAN Wi-Fi'!H128</f>
        <v>200.25585422315291</v>
      </c>
      <c r="D155" s="18">
        <f>'WAN FAN Wi-Fi'!I128</f>
        <v>196.62237023116231</v>
      </c>
      <c r="E155" s="18">
        <f>'WAN FAN Wi-Fi'!J128</f>
        <v>181.00294595484499</v>
      </c>
      <c r="F155" s="18">
        <f>'WAN FAN Wi-Fi'!K128</f>
        <v>166.57890688496164</v>
      </c>
      <c r="G155" s="18">
        <f>'WAN FAN Wi-Fi'!L128</f>
        <v>151.9210282542038</v>
      </c>
      <c r="H155" s="18">
        <f>'WAN FAN Wi-Fi'!M128</f>
        <v>136.17773569511598</v>
      </c>
      <c r="I155" s="18">
        <f>'WAN FAN Wi-Fi'!N128</f>
        <v>118.87289457839924</v>
      </c>
      <c r="J155" s="18">
        <f>'WAN FAN Wi-Fi'!O128</f>
        <v>110.58128641127578</v>
      </c>
      <c r="K155" s="18">
        <f>'WAN FAN Wi-Fi'!P128</f>
        <v>102.90597592427439</v>
      </c>
      <c r="L155" s="18">
        <f>'WAN FAN Wi-Fi'!Q128</f>
        <v>98.075430999759973</v>
      </c>
      <c r="M155" s="18">
        <f>'WAN FAN Wi-Fi'!R128</f>
        <v>94.050039213416241</v>
      </c>
      <c r="N155" s="18">
        <f>'WAN FAN Wi-Fi'!S128</f>
        <v>91.950835033488744</v>
      </c>
      <c r="O155" s="18">
        <f>'WAN FAN Wi-Fi'!T128</f>
        <v>94.765225946868043</v>
      </c>
      <c r="P155" s="18">
        <f>'WAN FAN Wi-Fi'!U128</f>
        <v>102.41427604914661</v>
      </c>
      <c r="Q155" s="18">
        <f>'WAN FAN Wi-Fi'!V128</f>
        <v>115.73751401855871</v>
      </c>
      <c r="R155" s="18">
        <f>'WAN FAN Wi-Fi'!W128</f>
        <v>142.25244299770935</v>
      </c>
      <c r="S155" s="18">
        <f>'WAN FAN Wi-Fi'!X128</f>
        <v>181.49651941864687</v>
      </c>
      <c r="T155" s="18">
        <f>'WAN FAN Wi-Fi'!Y128</f>
        <v>237.21846870316199</v>
      </c>
      <c r="U155" s="18">
        <f>'WAN FAN Wi-Fi'!Z128</f>
        <v>320.31197017249252</v>
      </c>
      <c r="V155" s="18">
        <f>'WAN FAN Wi-Fi'!AA128</f>
        <v>445.62740445665224</v>
      </c>
      <c r="W155" s="13">
        <f t="shared" si="38"/>
        <v>1.0507835873217249E-2</v>
      </c>
      <c r="X155" s="13">
        <f t="shared" si="39"/>
        <v>1.2817726033566113E-2</v>
      </c>
      <c r="Y155" s="303">
        <f>V155/(V155+V154+V153)</f>
        <v>0.40222171204578122</v>
      </c>
      <c r="Z155" s="303"/>
      <c r="AA155" s="303"/>
      <c r="AB155" s="303"/>
    </row>
    <row r="156" spans="1:28" x14ac:dyDescent="0.3">
      <c r="A156" s="36" t="s">
        <v>224</v>
      </c>
      <c r="B156" s="18">
        <f>DataCenters!D20</f>
        <v>196.40320000000003</v>
      </c>
      <c r="C156" s="18">
        <f>DataCenters!E20</f>
        <v>206.4384</v>
      </c>
      <c r="D156" s="18">
        <f>DataCenters!F20</f>
        <v>238.55104000000003</v>
      </c>
      <c r="E156" s="18">
        <f>DataCenters!G20</f>
        <v>227.54099200000007</v>
      </c>
      <c r="F156" s="18">
        <f>DataCenters!H20</f>
        <v>236.64263168000002</v>
      </c>
      <c r="G156" s="18">
        <f>DataCenters!I20</f>
        <v>246.10833694720006</v>
      </c>
      <c r="H156" s="18">
        <f>DataCenters!J20</f>
        <v>255.95267042508814</v>
      </c>
      <c r="I156" s="18">
        <f>DataCenters!K20</f>
        <v>266.19077724209166</v>
      </c>
      <c r="J156" s="18">
        <f>DataCenters!L20</f>
        <v>276.83840833177533</v>
      </c>
      <c r="K156" s="18">
        <f>DataCenters!M20</f>
        <v>287.91194466504635</v>
      </c>
      <c r="L156" s="18">
        <f>DataCenters!N20</f>
        <v>299.4284224516482</v>
      </c>
      <c r="M156" s="18">
        <f>DataCenters!O20</f>
        <v>311.40555934971417</v>
      </c>
      <c r="N156" s="18">
        <f>DataCenters!P20</f>
        <v>327.91005399524903</v>
      </c>
      <c r="O156" s="18">
        <f>DataCenters!Q20</f>
        <v>349.55211755893544</v>
      </c>
      <c r="P156" s="18">
        <f>DataCenters!R20</f>
        <v>377.16673484609134</v>
      </c>
      <c r="Q156" s="18">
        <f>DataCenters!S20</f>
        <v>411.86607445193175</v>
      </c>
      <c r="R156" s="18">
        <f>DataCenters!T20</f>
        <v>471.17478917300997</v>
      </c>
      <c r="S156" s="18">
        <f>DataCenters!U20</f>
        <v>551.27450333242166</v>
      </c>
      <c r="T156" s="18">
        <f>DataCenters!V20</f>
        <v>652.15773744225487</v>
      </c>
      <c r="U156" s="18">
        <f>DataCenters!W20</f>
        <v>788.45870456768625</v>
      </c>
      <c r="V156" s="18">
        <f>DataCenters!X20</f>
        <v>973.74650014109261</v>
      </c>
      <c r="W156" s="13">
        <f t="shared" si="38"/>
        <v>1.0133801145451732E-2</v>
      </c>
      <c r="X156" s="13">
        <f>V156/$V$22</f>
        <v>2.8008187423236588E-2</v>
      </c>
      <c r="Y156" s="303"/>
      <c r="Z156" s="303"/>
      <c r="AA156" s="303"/>
      <c r="AB156" s="303">
        <f>V156/SUM(V152:V157)</f>
        <v>0.2820285707886126</v>
      </c>
    </row>
    <row r="157" spans="1:28" x14ac:dyDescent="0.3">
      <c r="A157" s="36" t="s">
        <v>93</v>
      </c>
      <c r="B157" s="18">
        <f>Production!B60</f>
        <v>291.43102177671062</v>
      </c>
      <c r="C157" s="18">
        <f>Production!C60</f>
        <v>297.00104642547245</v>
      </c>
      <c r="D157" s="18">
        <f>Production!D60</f>
        <v>308.63237017224498</v>
      </c>
      <c r="E157" s="18">
        <f>Production!E60</f>
        <v>317.22924126904206</v>
      </c>
      <c r="F157" s="18">
        <f>Production!F60</f>
        <v>327.85381452986945</v>
      </c>
      <c r="G157" s="18">
        <f>Production!G60</f>
        <v>341.8162073076362</v>
      </c>
      <c r="H157" s="18">
        <f>Production!H60</f>
        <v>347.82077257284084</v>
      </c>
      <c r="I157" s="18">
        <f>Production!I60</f>
        <v>354.94108535977614</v>
      </c>
      <c r="J157" s="18">
        <f>Production!J60</f>
        <v>363.5650925999679</v>
      </c>
      <c r="K157" s="18">
        <f>Production!K60</f>
        <v>373.65504561707081</v>
      </c>
      <c r="L157" s="18">
        <f>Production!L60</f>
        <v>380.72556712639556</v>
      </c>
      <c r="M157" s="18">
        <f>Production!M60</f>
        <v>357.87211632784187</v>
      </c>
      <c r="N157" s="18">
        <f>Production!N60</f>
        <v>339.03203032465109</v>
      </c>
      <c r="O157" s="18">
        <f>Production!O60</f>
        <v>323.68619512451198</v>
      </c>
      <c r="P157" s="18">
        <f>Production!P60</f>
        <v>311.37934948075281</v>
      </c>
      <c r="Q157" s="18">
        <f>Production!Q60</f>
        <v>301.78118722120519</v>
      </c>
      <c r="R157" s="18">
        <f>Production!R60</f>
        <v>295.27211890949917</v>
      </c>
      <c r="S157" s="18">
        <f>Production!S60</f>
        <v>291.48660096467916</v>
      </c>
      <c r="T157" s="18">
        <f>Production!T60</f>
        <v>290.32131988346475</v>
      </c>
      <c r="U157" s="18">
        <f>Production!U60</f>
        <v>292.30166653406218</v>
      </c>
      <c r="V157" s="18">
        <f>Production!V60</f>
        <v>298.03786185519311</v>
      </c>
      <c r="W157" s="13">
        <f t="shared" si="38"/>
        <v>1.503694452178477E-2</v>
      </c>
      <c r="X157" s="13">
        <f t="shared" si="39"/>
        <v>8.5725599967254491E-3</v>
      </c>
      <c r="Y157" s="303"/>
      <c r="Z157" s="303"/>
      <c r="AA157" s="303"/>
      <c r="AB157" s="303"/>
    </row>
    <row r="166" spans="2:4" x14ac:dyDescent="0.3">
      <c r="D166">
        <v>2020</v>
      </c>
    </row>
    <row r="168" spans="2:4" x14ac:dyDescent="0.3">
      <c r="C168" t="s">
        <v>333</v>
      </c>
      <c r="D168" t="s">
        <v>334</v>
      </c>
    </row>
    <row r="169" spans="2:4" x14ac:dyDescent="0.3">
      <c r="B169" s="36" t="s">
        <v>215</v>
      </c>
      <c r="C169" s="18">
        <f>184.842772574626+946.957108131688</f>
        <v>1131.7998807063141</v>
      </c>
      <c r="D169" s="18">
        <f>L152</f>
        <v>1038.5234219383763</v>
      </c>
    </row>
    <row r="170" spans="2:4" x14ac:dyDescent="0.3">
      <c r="B170" s="36" t="s">
        <v>266</v>
      </c>
      <c r="C170" s="18">
        <v>439.33451266811022</v>
      </c>
      <c r="D170" s="18">
        <f>L153</f>
        <v>171.22814105370821</v>
      </c>
    </row>
    <row r="171" spans="2:4" x14ac:dyDescent="0.3">
      <c r="B171" s="36" t="s">
        <v>223</v>
      </c>
      <c r="C171" s="18">
        <v>98.075430999759973</v>
      </c>
      <c r="D171" s="18">
        <f>L155</f>
        <v>98.075430999759973</v>
      </c>
    </row>
    <row r="172" spans="2:4" x14ac:dyDescent="0.3">
      <c r="B172" s="36" t="s">
        <v>224</v>
      </c>
      <c r="C172" s="18">
        <v>660.01006825091235</v>
      </c>
      <c r="D172" s="18">
        <f>L156</f>
        <v>299.4284224516482</v>
      </c>
    </row>
    <row r="173" spans="2:4" x14ac:dyDescent="0.3">
      <c r="B173" s="36" t="s">
        <v>93</v>
      </c>
      <c r="C173" s="18">
        <v>548.9977200214621</v>
      </c>
      <c r="D173" s="18">
        <f>L157</f>
        <v>380.72556712639556</v>
      </c>
    </row>
    <row r="174" spans="2:4" x14ac:dyDescent="0.3">
      <c r="B174" s="36"/>
    </row>
    <row r="175" spans="2:4" x14ac:dyDescent="0.3">
      <c r="D175">
        <v>2030</v>
      </c>
    </row>
    <row r="177" spans="2:4" x14ac:dyDescent="0.3">
      <c r="C177" t="s">
        <v>333</v>
      </c>
      <c r="D177" t="s">
        <v>334</v>
      </c>
    </row>
    <row r="178" spans="2:4" x14ac:dyDescent="0.3">
      <c r="B178" s="36" t="s">
        <v>215</v>
      </c>
      <c r="C178" s="18">
        <f>888.507486758431+670.030366085529</f>
        <v>1558.5378528439601</v>
      </c>
      <c r="D178" s="18">
        <f>V152</f>
        <v>1072.9527648587175</v>
      </c>
    </row>
    <row r="179" spans="2:4" x14ac:dyDescent="0.3">
      <c r="B179" s="36" t="s">
        <v>266</v>
      </c>
      <c r="C179" s="18">
        <v>2640.6272824606208</v>
      </c>
      <c r="D179" s="18">
        <f>V153</f>
        <v>428.00745525592885</v>
      </c>
    </row>
    <row r="180" spans="2:4" x14ac:dyDescent="0.3">
      <c r="B180" s="36" t="s">
        <v>223</v>
      </c>
      <c r="C180" s="18">
        <v>196.04531188371456</v>
      </c>
      <c r="D180" s="18">
        <f>V155</f>
        <v>445.62740445665224</v>
      </c>
    </row>
    <row r="181" spans="2:4" x14ac:dyDescent="0.3">
      <c r="B181" s="36" t="s">
        <v>224</v>
      </c>
      <c r="C181" s="18">
        <v>2967.2670367836349</v>
      </c>
      <c r="D181" s="18">
        <f t="shared" ref="D181:D182" si="40">V156</f>
        <v>973.74650014109261</v>
      </c>
    </row>
    <row r="182" spans="2:4" x14ac:dyDescent="0.3">
      <c r="B182" s="36" t="s">
        <v>93</v>
      </c>
      <c r="C182" s="18">
        <v>902.56823963408169</v>
      </c>
      <c r="D182" s="18">
        <f t="shared" si="40"/>
        <v>298.03786185519311</v>
      </c>
    </row>
    <row r="194" spans="6:6" x14ac:dyDescent="0.3">
      <c r="F194" s="15" t="s">
        <v>344</v>
      </c>
    </row>
    <row r="214" spans="6:6" x14ac:dyDescent="0.3">
      <c r="F214" s="15" t="s">
        <v>345</v>
      </c>
    </row>
  </sheetData>
  <pageMargins left="0.75" right="0.75" top="1" bottom="1" header="0.5" footer="0.5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zoomScale="70" zoomScaleNormal="70" workbookViewId="0">
      <selection activeCell="X33" sqref="X33"/>
    </sheetView>
  </sheetViews>
  <sheetFormatPr defaultColWidth="11" defaultRowHeight="13.5" x14ac:dyDescent="0.3"/>
  <cols>
    <col min="1" max="1" width="49.23046875" customWidth="1"/>
    <col min="2" max="2" width="20.15234375" customWidth="1"/>
    <col min="3" max="3" width="12.84375" customWidth="1"/>
    <col min="4" max="4" width="17.765625" bestFit="1" customWidth="1"/>
    <col min="5" max="5" width="17.765625" customWidth="1"/>
    <col min="6" max="6" width="20.61328125" customWidth="1"/>
    <col min="7" max="7" width="24.23046875" customWidth="1"/>
    <col min="8" max="8" width="14.84375" customWidth="1"/>
    <col min="9" max="9" width="16.3828125" customWidth="1"/>
    <col min="10" max="10" width="19.4609375" customWidth="1"/>
    <col min="11" max="11" width="17.15234375" customWidth="1"/>
    <col min="12" max="12" width="18.84375" customWidth="1"/>
    <col min="13" max="13" width="16.23046875" customWidth="1"/>
    <col min="32" max="32" width="11" customWidth="1"/>
  </cols>
  <sheetData>
    <row r="1" spans="1:31" ht="14" thickBot="1" x14ac:dyDescent="0.35">
      <c r="A1" s="15" t="s">
        <v>53</v>
      </c>
      <c r="B1" s="15">
        <v>2010</v>
      </c>
      <c r="C1" s="15">
        <v>2011</v>
      </c>
      <c r="D1" s="1">
        <v>2012</v>
      </c>
      <c r="E1" s="1">
        <v>2013</v>
      </c>
      <c r="F1" s="1">
        <v>2014</v>
      </c>
      <c r="G1" s="1">
        <v>2015</v>
      </c>
      <c r="H1" s="1">
        <v>2016</v>
      </c>
      <c r="I1" s="1">
        <v>2017</v>
      </c>
      <c r="J1" s="1">
        <v>2018</v>
      </c>
      <c r="K1" s="1">
        <v>2019</v>
      </c>
      <c r="L1" s="1">
        <v>2020</v>
      </c>
      <c r="M1" s="1">
        <v>2021</v>
      </c>
      <c r="N1" s="1">
        <v>2022</v>
      </c>
      <c r="O1" s="1">
        <v>2023</v>
      </c>
      <c r="P1" s="1">
        <v>2024</v>
      </c>
      <c r="Q1" s="1">
        <v>2025</v>
      </c>
      <c r="R1" s="1">
        <v>2026</v>
      </c>
      <c r="S1" s="1">
        <v>2027</v>
      </c>
      <c r="T1" s="1">
        <v>2028</v>
      </c>
      <c r="U1" s="1">
        <v>2029</v>
      </c>
      <c r="V1" s="1">
        <v>2030</v>
      </c>
      <c r="W1" t="s">
        <v>106</v>
      </c>
      <c r="AE1" t="s">
        <v>127</v>
      </c>
    </row>
    <row r="2" spans="1:31" ht="15" thickBot="1" x14ac:dyDescent="0.4">
      <c r="A2" s="147" t="s">
        <v>336</v>
      </c>
      <c r="B2" s="284">
        <v>1489.4196494597838</v>
      </c>
      <c r="C2" s="284">
        <v>1477.4563179183672</v>
      </c>
      <c r="D2" s="284">
        <v>1498.0774071558028</v>
      </c>
      <c r="E2" s="284">
        <v>1437.3774894491958</v>
      </c>
      <c r="F2" s="284">
        <v>1389.80728483702</v>
      </c>
      <c r="G2" s="284">
        <v>1350.1338226050268</v>
      </c>
      <c r="H2" s="284">
        <v>1309.2717521356853</v>
      </c>
      <c r="I2" s="284">
        <v>1273.8088940892421</v>
      </c>
      <c r="J2" s="284">
        <v>1247.4265678042671</v>
      </c>
      <c r="K2" s="284">
        <v>1225.5985532590714</v>
      </c>
      <c r="L2" s="284">
        <v>1987.9809835698884</v>
      </c>
      <c r="M2" s="284">
        <v>1985.5882686426348</v>
      </c>
      <c r="N2" s="284">
        <v>1979.5567979964173</v>
      </c>
      <c r="O2" s="284">
        <v>1973.3967949944056</v>
      </c>
      <c r="P2" s="284">
        <v>1966.8254668992813</v>
      </c>
      <c r="Q2" s="284">
        <v>1960.0661466132879</v>
      </c>
      <c r="R2" s="284">
        <v>1972.2863339754522</v>
      </c>
      <c r="S2" s="284">
        <v>2000.1200647073915</v>
      </c>
      <c r="T2" s="284">
        <v>2043.4569678245634</v>
      </c>
      <c r="U2" s="284">
        <v>2105.9671868125811</v>
      </c>
      <c r="V2" s="284">
        <v>2191.3357881410134</v>
      </c>
      <c r="W2" s="22">
        <f>(V2/B2)^(1/20)</f>
        <v>1.0194938085485923</v>
      </c>
      <c r="X2" s="36" t="s">
        <v>342</v>
      </c>
    </row>
    <row r="3" spans="1:31" ht="15" thickBot="1" x14ac:dyDescent="0.4">
      <c r="A3" s="141" t="s">
        <v>334</v>
      </c>
      <c r="B3" s="285">
        <f>'Future 2030'!B3</f>
        <v>1941.906588835534</v>
      </c>
      <c r="C3" s="285">
        <f>'Future 2030'!C3</f>
        <v>1947.1383793986254</v>
      </c>
      <c r="D3" s="285">
        <f>'Future 2030'!D3</f>
        <v>1989.9879565682199</v>
      </c>
      <c r="E3" s="285">
        <f>'Future 2030'!E3</f>
        <v>1950.857454724925</v>
      </c>
      <c r="F3" s="285">
        <f>'Future 2030'!F3</f>
        <v>1940.1882951741463</v>
      </c>
      <c r="G3" s="285">
        <f>'Future 2030'!G3</f>
        <v>1938.0801169429008</v>
      </c>
      <c r="H3" s="285">
        <f>'Future 2030'!H3</f>
        <v>1933.9489974797725</v>
      </c>
      <c r="I3" s="285">
        <f>'Future 2030'!I3</f>
        <v>1927.1164087645693</v>
      </c>
      <c r="J3" s="285">
        <f>'Future 2030'!J3</f>
        <v>1935.3716395681736</v>
      </c>
      <c r="K3" s="285">
        <f>'Future 2030'!K3</f>
        <v>1950.1139272889127</v>
      </c>
      <c r="L3" s="285">
        <f>'Future 2030'!L3</f>
        <v>1987.9809835698884</v>
      </c>
      <c r="M3" s="285">
        <f>'Future 2030'!M3</f>
        <v>1985.5882686426348</v>
      </c>
      <c r="N3" s="285">
        <f>'Future 2030'!N3</f>
        <v>1987.0356098822194</v>
      </c>
      <c r="O3" s="285">
        <f>'Future 2030'!O3</f>
        <v>1996.5815563533833</v>
      </c>
      <c r="P3" s="285">
        <f>'Future 2030'!P3</f>
        <v>2015.3545888699466</v>
      </c>
      <c r="Q3" s="285">
        <f>'Future 2030'!Q3</f>
        <v>2045.7684307134173</v>
      </c>
      <c r="R3" s="285">
        <f>'Future 2030'!R3</f>
        <v>2139.4747069892446</v>
      </c>
      <c r="S3" s="285">
        <f>'Future 2030'!S3</f>
        <v>2287.7023986916647</v>
      </c>
      <c r="T3" s="285">
        <f>'Future 2030'!T3</f>
        <v>2493.0544470981463</v>
      </c>
      <c r="U3" s="285">
        <f>'Future 2030'!U3</f>
        <v>2790.8321616365556</v>
      </c>
      <c r="V3" s="285">
        <f>'Future 2030'!V3</f>
        <v>3218.3719865675844</v>
      </c>
      <c r="W3" s="22">
        <f>(V3/B3)^(1/20)</f>
        <v>1.0255820124447532</v>
      </c>
      <c r="X3" s="36" t="s">
        <v>340</v>
      </c>
    </row>
    <row r="4" spans="1:31" ht="14.5" x14ac:dyDescent="0.35">
      <c r="A4" s="140" t="s">
        <v>335</v>
      </c>
      <c r="B4" s="286">
        <v>2722.5055976470589</v>
      </c>
      <c r="C4" s="286">
        <v>2832.2251297928092</v>
      </c>
      <c r="D4" s="286">
        <v>3022.2310103967529</v>
      </c>
      <c r="E4" s="286">
        <v>3190.025669990021</v>
      </c>
      <c r="F4" s="286">
        <v>3442.0395645846347</v>
      </c>
      <c r="G4" s="286">
        <v>3753.1146363204612</v>
      </c>
      <c r="H4" s="286">
        <v>4106.2660748334893</v>
      </c>
      <c r="I4" s="286">
        <v>4535.3405992890703</v>
      </c>
      <c r="J4" s="286">
        <v>5094.88178122507</v>
      </c>
      <c r="K4" s="286">
        <v>5790.1276594488163</v>
      </c>
      <c r="L4" s="286">
        <v>2878.2176126465588</v>
      </c>
      <c r="M4" s="286">
        <v>3009.9104960028953</v>
      </c>
      <c r="N4" s="286">
        <v>3259.8082466626629</v>
      </c>
      <c r="O4" s="286">
        <v>3561.708765358288</v>
      </c>
      <c r="P4" s="286">
        <v>3920.2719122412022</v>
      </c>
      <c r="Q4" s="286">
        <v>4350.1731817703167</v>
      </c>
      <c r="R4" s="286">
        <v>4857.9741508080078</v>
      </c>
      <c r="S4" s="286">
        <v>5479.9892991091065</v>
      </c>
      <c r="T4" s="286">
        <v>6237.029423189756</v>
      </c>
      <c r="U4" s="286">
        <v>7154.8141322855718</v>
      </c>
      <c r="V4" s="286">
        <v>8265.0457236060101</v>
      </c>
      <c r="W4" s="22">
        <f>(V4/B4)^(1/20)</f>
        <v>1.0570945261237958</v>
      </c>
      <c r="X4" s="36" t="s">
        <v>339</v>
      </c>
    </row>
    <row r="5" spans="1:31" s="18" customFormat="1" ht="14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31" s="18" customFormat="1" x14ac:dyDescent="0.3"/>
    <row r="7" spans="1:31" s="18" customFormat="1" x14ac:dyDescent="0.3"/>
    <row r="14" spans="1:31" x14ac:dyDescent="0.3">
      <c r="W14" s="15" t="s">
        <v>261</v>
      </c>
    </row>
    <row r="15" spans="1:31" s="245" customFormat="1" ht="15.5" x14ac:dyDescent="0.35"/>
    <row r="16" spans="1:31" x14ac:dyDescent="0.3">
      <c r="A16" s="36"/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Traffic</vt:lpstr>
      <vt:lpstr>WAN FAN Wi-Fi</vt:lpstr>
      <vt:lpstr>DataCenters</vt:lpstr>
      <vt:lpstr>Cons Dev Best </vt:lpstr>
      <vt:lpstr>Cons Dev Expe</vt:lpstr>
      <vt:lpstr>Cons Dev Worst</vt:lpstr>
      <vt:lpstr>Production</vt:lpstr>
      <vt:lpstr>Future 2030</vt:lpstr>
      <vt:lpstr>Figure 5</vt:lpstr>
      <vt:lpstr>Traffic generated by devices</vt:lpstr>
    </vt:vector>
  </TitlesOfParts>
  <Company>NuiGalway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pcor</dc:creator>
  <cp:lastModifiedBy>Anders Andrae</cp:lastModifiedBy>
  <cp:lastPrinted>2015-02-20T13:27:50Z</cp:lastPrinted>
  <dcterms:created xsi:type="dcterms:W3CDTF">2013-04-13T10:59:56Z</dcterms:created>
  <dcterms:modified xsi:type="dcterms:W3CDTF">2020-06-18T10:19:05Z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(1)rTaXa3TThARRFUGUvNHFkCsUu+bk+roGVb46jNjr7CNGnz9xtjmEYXjhhnU3AOA7itiBn+hW_x000d_ xdUAb/WelEkpXX4I+e+yRwzHsNLmIuAsH+A0jCGYMB7VKlrklQO5iQPXC1Q8tfnjTkS7mJcl_x000d_ 41pqjfQbkk38Cv/3u8hKMZqjm48=</vt:lpwstr>
  </property>
  <property fmtid="{D5CDD505-2E9C-101B-9397-08002B2CF9AE}" pid="3" name="_new_ms_pID_72543">
    <vt:lpwstr>(3)FVXTQQbcyTmPq/N/eaGU90Xf5HQk2Hlm2oNVWxJme35IURZbuH8jH758z3HQgz04m0cgKyMZ
GI5myeC4Cl388kYngJBPvuNl4xQQ4ygNEXti+B1vTbHXCb4Otc1painO91+ob3q+bC75p751
0IaqqKKlWojXJkaufliyuR8tq82BNmiOv4kkcZbedNBRBYlIaLIoDCEeYWEqK3dLLe8eBbgT
/X2z6/p6zKA8Ohez/J</vt:lpwstr>
  </property>
  <property fmtid="{D5CDD505-2E9C-101B-9397-08002B2CF9AE}" pid="4" name="_new_ms_pID_725431">
    <vt:lpwstr>Rvp/PLVhweKFaoxisp9QUXamE7sBPCp4poBSroBstSmADWJ8PcrovZ
bgoRESCwEnUQC4ZeWYpkCk3ZLi1bxqqmzFjT3zILE08Oktg7tpp9g0frTx4nF1umh7Oj49nB
HHSm/JZiueeLxxYmzj8S2W6sMSwE/eOjlCL0ZZVzrKVg0AgCQQwSx4W46hTn8fj6b8UnkrtV
yKaH4Iay2l8y807AEXIqW/Etvq2x7sQIp2MM</vt:lpwstr>
  </property>
  <property fmtid="{D5CDD505-2E9C-101B-9397-08002B2CF9AE}" pid="5" name="_new_ms_pID_725432">
    <vt:lpwstr>UQtemVb3drL12ZQfNiFuOOOKTa8Pdppoq8Sz
MDR4A2sxAs+1NcFA6cgpeETuGsJHEQ==</vt:lpwstr>
  </property>
  <property fmtid="{D5CDD505-2E9C-101B-9397-08002B2CF9AE}" pid="6" name="sflag">
    <vt:lpwstr>1429604097</vt:lpwstr>
  </property>
</Properties>
</file>